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เวิร์กบุ๊กนี้" defaultThemeVersion="124226"/>
  <mc:AlternateContent xmlns:mc="http://schemas.openxmlformats.org/markup-compatibility/2006">
    <mc:Choice Requires="x15">
      <x15ac:absPath xmlns:x15ac="http://schemas.microsoft.com/office/spreadsheetml/2010/11/ac" url="C:\Users\Acer\Desktop\"/>
    </mc:Choice>
  </mc:AlternateContent>
  <xr:revisionPtr revIDLastSave="0" documentId="13_ncr:1_{764F2B59-9F69-4EEA-AD02-B33557238A85}" xr6:coauthVersionLast="47" xr6:coauthVersionMax="47" xr10:uidLastSave="{00000000-0000-0000-0000-000000000000}"/>
  <bookViews>
    <workbookView xWindow="-120" yWindow="-120" windowWidth="29040" windowHeight="15720" activeTab="1" xr2:uid="{00000000-000D-0000-FFFF-FFFF00000000}"/>
  </bookViews>
  <sheets>
    <sheet name="ทะเบียนคุมประกาศจัดซื้อจัดจ้าง" sheetId="23" r:id="rId1"/>
    <sheet name="สัญญาจ้างก่อสร้าง" sheetId="10" r:id="rId2"/>
    <sheet name="ใบสั่งซื้อ" sheetId="11" r:id="rId3"/>
    <sheet name="ใบสั่งจ้าง (คน)" sheetId="9" r:id="rId4"/>
    <sheet name="ใบสั่งจ้าง (ทรัพย์สิน)" sheetId="20" r:id="rId5"/>
    <sheet name="น้ำมัน" sheetId="13" r:id="rId6"/>
    <sheet name="เครื่องถ่ายเอกสาร" sheetId="14" r:id="rId7"/>
    <sheet name="Sheet1" sheetId="22" r:id="rId8"/>
  </sheets>
  <definedNames>
    <definedName name="_xlnm.Print_Titles" localSheetId="0">ทะเบียนคุมประกาศจัดซื้อจัดจ้าง!$5:$6</definedName>
    <definedName name="_xlnm.Print_Titles" localSheetId="3">'ใบสั่งจ้าง (คน)'!$5:$6</definedName>
    <definedName name="_xlnm.Print_Titles" localSheetId="4">'ใบสั่งจ้าง (ทรัพย์สิน)'!$5:$6</definedName>
    <definedName name="_xlnm.Print_Titles" localSheetId="2">ใบสั่งซื้อ!$5:$6</definedName>
    <definedName name="_xlnm.Print_Titles" localSheetId="1">สัญญาจ้างก่อสร้าง!$5:$6</definedName>
  </definedNames>
  <calcPr calcId="181029"/>
</workbook>
</file>

<file path=xl/calcChain.xml><?xml version="1.0" encoding="utf-8"?>
<calcChain xmlns="http://schemas.openxmlformats.org/spreadsheetml/2006/main">
  <c r="H45" i="10" l="1"/>
  <c r="F162" i="20"/>
  <c r="H162" i="20"/>
  <c r="H194" i="11" l="1"/>
  <c r="H193" i="11"/>
  <c r="H192" i="11" l="1"/>
  <c r="H191" i="11"/>
  <c r="H190" i="11" l="1"/>
  <c r="H161" i="20" l="1"/>
  <c r="H189" i="11"/>
  <c r="H160" i="20" l="1"/>
  <c r="F188" i="11" l="1"/>
  <c r="H188" i="11" s="1"/>
  <c r="F187" i="11"/>
  <c r="H187" i="11" l="1"/>
  <c r="F151" i="20" l="1"/>
  <c r="F186" i="11" l="1"/>
  <c r="H186" i="11" s="1"/>
  <c r="H185" i="11"/>
  <c r="F184" i="11"/>
  <c r="H184" i="11" s="1"/>
  <c r="F183" i="11"/>
  <c r="H159" i="20" l="1"/>
  <c r="H183" i="11"/>
  <c r="Q41" i="13" l="1"/>
  <c r="Q42" i="13" s="1"/>
  <c r="F181" i="11" l="1"/>
  <c r="H181" i="11" s="1"/>
  <c r="H180" i="11" l="1"/>
  <c r="R368" i="9" l="1"/>
  <c r="H179" i="11" l="1"/>
  <c r="F178" i="11"/>
  <c r="H178" i="11"/>
  <c r="F177" i="11"/>
  <c r="H177" i="11" s="1"/>
  <c r="F176" i="11"/>
  <c r="H176" i="11" s="1"/>
  <c r="H152" i="20" l="1"/>
  <c r="H151" i="20" l="1"/>
  <c r="F175" i="11" l="1"/>
  <c r="H150" i="20" l="1"/>
  <c r="H175" i="11"/>
  <c r="H171" i="11"/>
  <c r="H174" i="11"/>
  <c r="H173" i="11"/>
  <c r="H172" i="11"/>
  <c r="H170" i="11" l="1"/>
  <c r="H149" i="20" l="1"/>
  <c r="H148" i="20"/>
  <c r="H169" i="11" l="1"/>
  <c r="H147" i="20" l="1"/>
  <c r="F161" i="11" l="1"/>
  <c r="F283" i="9"/>
  <c r="H283" i="9"/>
  <c r="F282" i="9"/>
  <c r="H282" i="9" s="1"/>
  <c r="H146" i="20"/>
  <c r="H145" i="20"/>
  <c r="H161" i="11" l="1"/>
  <c r="H137" i="20" l="1"/>
  <c r="F159" i="11" l="1"/>
  <c r="F311" i="9" l="1"/>
  <c r="H311" i="9" s="1"/>
  <c r="F312" i="9"/>
  <c r="H312" i="9" s="1"/>
  <c r="F314" i="9" l="1"/>
  <c r="H314" i="9" s="1"/>
  <c r="F316" i="9"/>
  <c r="H316" i="9" s="1"/>
  <c r="F315" i="9"/>
  <c r="H315" i="9" s="1"/>
  <c r="F317" i="9"/>
  <c r="H317" i="9" s="1"/>
  <c r="F274" i="9" l="1"/>
  <c r="H274" i="9" s="1"/>
  <c r="H273" i="9"/>
  <c r="H272" i="9"/>
  <c r="F271" i="9"/>
  <c r="H271" i="9" s="1"/>
  <c r="F270" i="9"/>
  <c r="H270" i="9" s="1"/>
  <c r="F275" i="9"/>
  <c r="F269" i="9"/>
  <c r="H269" i="9" s="1"/>
  <c r="F267" i="9"/>
  <c r="H267" i="9" s="1"/>
  <c r="F268" i="9"/>
  <c r="H268" i="9" s="1"/>
  <c r="F291" i="9"/>
  <c r="H291" i="9"/>
  <c r="F290" i="9"/>
  <c r="H290" i="9" s="1"/>
  <c r="F289" i="9"/>
  <c r="H289" i="9" s="1"/>
  <c r="F288" i="9"/>
  <c r="H288" i="9" s="1"/>
  <c r="F287" i="9"/>
  <c r="H287" i="9" s="1"/>
  <c r="F286" i="9"/>
  <c r="H286" i="9" s="1"/>
  <c r="F285" i="9"/>
  <c r="H285" i="9" s="1"/>
  <c r="F284" i="9"/>
  <c r="H284" i="9" s="1"/>
  <c r="F281" i="9" l="1"/>
  <c r="H281" i="9" s="1"/>
  <c r="F280" i="9"/>
  <c r="H280" i="9" s="1"/>
  <c r="F279" i="9"/>
  <c r="H279" i="9" s="1"/>
  <c r="F276" i="9"/>
  <c r="H276" i="9" s="1"/>
  <c r="H275" i="9"/>
  <c r="F278" i="9"/>
  <c r="H278" i="9" s="1"/>
  <c r="F277" i="9"/>
  <c r="H277" i="9"/>
  <c r="F292" i="9"/>
  <c r="H292" i="9" s="1"/>
  <c r="F294" i="9"/>
  <c r="H294" i="9" s="1"/>
  <c r="F295" i="9"/>
  <c r="H295" i="9" s="1"/>
  <c r="F293" i="9"/>
  <c r="H293" i="9" s="1"/>
  <c r="F307" i="9"/>
  <c r="H307" i="9" s="1"/>
  <c r="F306" i="9"/>
  <c r="H306" i="9" s="1"/>
  <c r="F305" i="9"/>
  <c r="H305" i="9" s="1"/>
  <c r="F308" i="9"/>
  <c r="H308" i="9" s="1"/>
  <c r="F296" i="9"/>
  <c r="H296" i="9" s="1"/>
  <c r="F300" i="9"/>
  <c r="H300" i="9" s="1"/>
  <c r="F298" i="9"/>
  <c r="H298" i="9" s="1"/>
  <c r="F303" i="9"/>
  <c r="H303" i="9" s="1"/>
  <c r="F299" i="9"/>
  <c r="H299" i="9" s="1"/>
  <c r="F302" i="9"/>
  <c r="H302" i="9" s="1"/>
  <c r="F301" i="9"/>
  <c r="H301" i="9" s="1"/>
  <c r="F297" i="9"/>
  <c r="H297" i="9" s="1"/>
  <c r="F304" i="9"/>
  <c r="H304" i="9" s="1"/>
  <c r="Q304" i="9"/>
  <c r="F309" i="9"/>
  <c r="H309" i="9" s="1"/>
  <c r="F310" i="9"/>
  <c r="H310" i="9" s="1"/>
  <c r="F135" i="20" l="1"/>
  <c r="H160" i="11"/>
  <c r="F134" i="20" l="1"/>
  <c r="F133" i="20"/>
  <c r="F132" i="20"/>
  <c r="H136" i="20" l="1"/>
  <c r="H135" i="20"/>
  <c r="H23" i="13" l="1"/>
  <c r="H159" i="11" l="1"/>
  <c r="H158" i="11"/>
  <c r="H134" i="20"/>
  <c r="H133" i="20"/>
  <c r="H132" i="20" l="1"/>
  <c r="H131" i="20"/>
  <c r="H118" i="20" l="1"/>
  <c r="H157" i="11"/>
  <c r="H156" i="11"/>
  <c r="N219" i="9" l="1"/>
  <c r="N235" i="9"/>
  <c r="N234" i="9"/>
  <c r="N233" i="9"/>
  <c r="N232" i="9"/>
  <c r="N231" i="9"/>
  <c r="N230" i="9"/>
  <c r="N229" i="9"/>
  <c r="N228" i="9"/>
  <c r="N227" i="9"/>
  <c r="N226" i="9"/>
  <c r="N225" i="9"/>
  <c r="N224" i="9"/>
  <c r="N223" i="9"/>
  <c r="N222" i="9"/>
  <c r="N221" i="9"/>
  <c r="N220" i="9"/>
  <c r="F218" i="9"/>
  <c r="H218" i="9" s="1"/>
  <c r="N243" i="9"/>
  <c r="Q243" i="9" s="1"/>
  <c r="N242" i="9"/>
  <c r="N241" i="9"/>
  <c r="N240" i="9"/>
  <c r="N239" i="9"/>
  <c r="N238" i="9"/>
  <c r="N237" i="9"/>
  <c r="N236" i="9"/>
  <c r="Q218" i="9"/>
  <c r="F142" i="11" l="1"/>
  <c r="H142" i="11" s="1"/>
  <c r="F141" i="11"/>
  <c r="H123" i="20"/>
  <c r="H122" i="20"/>
  <c r="H141" i="11" l="1"/>
  <c r="H140" i="11"/>
  <c r="H120" i="20" l="1"/>
  <c r="F121" i="20"/>
  <c r="F139" i="11"/>
  <c r="H139" i="11" s="1"/>
  <c r="F138" i="11"/>
  <c r="H138" i="11" s="1"/>
  <c r="H137" i="11"/>
  <c r="H136" i="11"/>
  <c r="H121" i="20" l="1"/>
  <c r="H119" i="20"/>
  <c r="H117" i="20" l="1"/>
  <c r="Q245" i="9" l="1"/>
  <c r="H245" i="9"/>
  <c r="Q36" i="13" l="1"/>
  <c r="Q37" i="13" s="1"/>
  <c r="H116" i="20" l="1"/>
  <c r="F135" i="11" l="1"/>
  <c r="H135" i="11" s="1"/>
  <c r="F134" i="11"/>
  <c r="H134" i="11" s="1"/>
  <c r="S328" i="9"/>
  <c r="F232" i="9" l="1"/>
  <c r="H232" i="9" s="1"/>
  <c r="Q232" i="9"/>
  <c r="F223" i="9"/>
  <c r="F243" i="9"/>
  <c r="H243" i="9" s="1"/>
  <c r="F242" i="9"/>
  <c r="H242" i="9" s="1"/>
  <c r="Q242" i="9"/>
  <c r="F241" i="9"/>
  <c r="H241" i="9" s="1"/>
  <c r="Q241" i="9"/>
  <c r="F240" i="9"/>
  <c r="H240" i="9" s="1"/>
  <c r="Q240" i="9"/>
  <c r="F239" i="9"/>
  <c r="H239" i="9" s="1"/>
  <c r="Q239" i="9"/>
  <c r="F238" i="9"/>
  <c r="H238" i="9" s="1"/>
  <c r="Q238" i="9"/>
  <c r="F237" i="9"/>
  <c r="H237" i="9" s="1"/>
  <c r="Q237" i="9"/>
  <c r="F236" i="9"/>
  <c r="H236" i="9" s="1"/>
  <c r="Q236" i="9"/>
  <c r="F235" i="9"/>
  <c r="H235" i="9" s="1"/>
  <c r="Q235" i="9"/>
  <c r="F234" i="9"/>
  <c r="H234" i="9" s="1"/>
  <c r="Q234" i="9"/>
  <c r="Q233" i="9"/>
  <c r="F233" i="9"/>
  <c r="H233" i="9" s="1"/>
  <c r="F219" i="9"/>
  <c r="Q219" i="9"/>
  <c r="H219" i="9"/>
  <c r="F231" i="9"/>
  <c r="H231" i="9" s="1"/>
  <c r="Q231" i="9"/>
  <c r="F230" i="9"/>
  <c r="H230" i="9" s="1"/>
  <c r="Q230" i="9"/>
  <c r="F229" i="9"/>
  <c r="H131" i="11"/>
  <c r="Q229" i="9" l="1"/>
  <c r="H229" i="9"/>
  <c r="F228" i="9"/>
  <c r="H228" i="9" s="1"/>
  <c r="Q228" i="9"/>
  <c r="F227" i="9"/>
  <c r="H227" i="9" s="1"/>
  <c r="Q227" i="9"/>
  <c r="F226" i="9"/>
  <c r="H226" i="9" s="1"/>
  <c r="Q226" i="9"/>
  <c r="F225" i="9"/>
  <c r="H225" i="9" s="1"/>
  <c r="Q225" i="9"/>
  <c r="F224" i="9"/>
  <c r="H224" i="9" s="1"/>
  <c r="Q224" i="9"/>
  <c r="Q223" i="9"/>
  <c r="H223" i="9"/>
  <c r="F222" i="9"/>
  <c r="H222" i="9" s="1"/>
  <c r="Q222" i="9"/>
  <c r="F221" i="9"/>
  <c r="H221" i="9" s="1"/>
  <c r="Q221" i="9"/>
  <c r="F220" i="9"/>
  <c r="H220" i="9" s="1"/>
  <c r="Q220" i="9"/>
  <c r="H101" i="20" l="1"/>
  <c r="H17" i="13" l="1"/>
  <c r="H130" i="11" l="1"/>
  <c r="H99" i="20" l="1"/>
  <c r="H100" i="20"/>
  <c r="H98" i="20"/>
  <c r="H96" i="20"/>
  <c r="H95" i="20"/>
  <c r="H97" i="20"/>
  <c r="F129" i="11"/>
  <c r="H129" i="11" s="1"/>
  <c r="H94" i="20"/>
  <c r="F128" i="11" l="1"/>
  <c r="H128" i="11" s="1"/>
  <c r="F92" i="20" l="1"/>
  <c r="H93" i="20" l="1"/>
  <c r="H92" i="20" l="1"/>
  <c r="Q33" i="13" l="1"/>
  <c r="Q34" i="13" s="1"/>
  <c r="Q108" i="9" l="1"/>
  <c r="Q95" i="9"/>
  <c r="Q96" i="9"/>
  <c r="Q97" i="9"/>
  <c r="Q98" i="9"/>
  <c r="Q99" i="9"/>
  <c r="Q100" i="9"/>
  <c r="Q91" i="9"/>
  <c r="S333" i="9" l="1"/>
  <c r="F217" i="9"/>
  <c r="H217" i="9" s="1"/>
  <c r="F216" i="9" l="1"/>
  <c r="H216" i="9" s="1"/>
  <c r="F215" i="9"/>
  <c r="H215" i="9" s="1"/>
  <c r="F214" i="9"/>
  <c r="H214" i="9" s="1"/>
  <c r="F213" i="9"/>
  <c r="H213" i="9" s="1"/>
  <c r="F210" i="9"/>
  <c r="H210" i="9" s="1"/>
  <c r="F209" i="9"/>
  <c r="H209" i="9" s="1"/>
  <c r="F211" i="9"/>
  <c r="F208" i="9"/>
  <c r="H208" i="9" s="1"/>
  <c r="F207" i="9"/>
  <c r="H207" i="9" s="1"/>
  <c r="F206" i="9"/>
  <c r="H206" i="9" s="1"/>
  <c r="F205" i="9"/>
  <c r="H205" i="9" s="1"/>
  <c r="F204" i="9"/>
  <c r="H204" i="9" s="1"/>
  <c r="H184" i="9"/>
  <c r="H186" i="9"/>
  <c r="H185" i="9" l="1"/>
  <c r="H189" i="9"/>
  <c r="H191" i="9"/>
  <c r="H183" i="9"/>
  <c r="H187" i="9" l="1"/>
  <c r="H190" i="9"/>
  <c r="F188" i="9"/>
  <c r="H188" i="9" s="1"/>
  <c r="H109" i="11" l="1"/>
  <c r="F212" i="9"/>
  <c r="H212" i="9" s="1"/>
  <c r="H211" i="9"/>
  <c r="S330" i="9"/>
  <c r="R325" i="9" s="1"/>
  <c r="H197" i="9"/>
  <c r="F195" i="9"/>
  <c r="H195" i="9" s="1"/>
  <c r="F176" i="9" l="1"/>
  <c r="H176" i="9" s="1"/>
  <c r="H181" i="9"/>
  <c r="H178" i="9"/>
  <c r="H180" i="9"/>
  <c r="H177" i="9"/>
  <c r="H179" i="9"/>
  <c r="H182" i="9"/>
  <c r="F108" i="11" l="1"/>
  <c r="H108" i="11" s="1"/>
  <c r="F107" i="11" l="1"/>
  <c r="H107" i="11" s="1"/>
  <c r="F106" i="11"/>
  <c r="H106" i="11" s="1"/>
  <c r="H61" i="20" l="1"/>
  <c r="H60" i="20" l="1"/>
  <c r="F97" i="11"/>
  <c r="H97" i="11" s="1"/>
  <c r="H59" i="20"/>
  <c r="H96" i="11"/>
  <c r="H95" i="11"/>
  <c r="H94" i="11"/>
  <c r="F93" i="11" l="1"/>
  <c r="H93" i="11" s="1"/>
  <c r="H58" i="20" l="1"/>
  <c r="H11" i="13" l="1"/>
  <c r="F92" i="11" l="1"/>
  <c r="H92" i="11" s="1"/>
  <c r="F91" i="11"/>
  <c r="H91" i="11" s="1"/>
  <c r="H72" i="11" l="1"/>
  <c r="F111" i="9" l="1"/>
  <c r="H111" i="9" s="1"/>
  <c r="R321" i="9" l="1"/>
  <c r="H71" i="11" l="1"/>
  <c r="H47" i="20"/>
  <c r="H46" i="20"/>
  <c r="F45" i="20" l="1"/>
  <c r="F172" i="9" l="1"/>
  <c r="H172" i="9" s="1"/>
  <c r="H45" i="20"/>
  <c r="H34" i="20"/>
  <c r="H70" i="11" l="1"/>
  <c r="F69" i="11" l="1"/>
  <c r="H69" i="11" s="1"/>
  <c r="H56" i="11" l="1"/>
  <c r="F63" i="11" l="1"/>
  <c r="H63" i="11" s="1"/>
  <c r="H62" i="11"/>
  <c r="H171" i="9" l="1"/>
  <c r="H170" i="9"/>
  <c r="F61" i="11" l="1"/>
  <c r="H61" i="11" s="1"/>
  <c r="H60" i="11"/>
  <c r="H35" i="20"/>
  <c r="H169" i="9" l="1"/>
  <c r="N118" i="9"/>
  <c r="F118" i="9"/>
  <c r="H118" i="9" s="1"/>
  <c r="N116" i="9"/>
  <c r="N111" i="9"/>
  <c r="N117" i="9"/>
  <c r="N110" i="9"/>
  <c r="N138" i="9"/>
  <c r="N109" i="9"/>
  <c r="H59" i="11" l="1"/>
  <c r="H58" i="11"/>
  <c r="H168" i="9"/>
  <c r="H57" i="11"/>
  <c r="H44" i="11"/>
  <c r="H33" i="20" l="1"/>
  <c r="N94" i="9" l="1"/>
  <c r="Q94" i="9" s="1"/>
  <c r="N93" i="9"/>
  <c r="Q93" i="9" s="1"/>
  <c r="N92" i="9"/>
  <c r="Q92" i="9" s="1"/>
  <c r="N90" i="9"/>
  <c r="Q90" i="9" s="1"/>
  <c r="N89" i="9"/>
  <c r="Q89" i="9" s="1"/>
  <c r="N88" i="9"/>
  <c r="Q88" i="9" s="1"/>
  <c r="N87" i="9"/>
  <c r="Q87" i="9" s="1"/>
  <c r="N86" i="9"/>
  <c r="Q86" i="9" s="1"/>
  <c r="N85" i="9"/>
  <c r="Q85" i="9" s="1"/>
  <c r="N84" i="9"/>
  <c r="Q84" i="9" s="1"/>
  <c r="N83" i="9"/>
  <c r="Q83" i="9" s="1"/>
  <c r="N82" i="9"/>
  <c r="Q82" i="9" s="1"/>
  <c r="N81" i="9"/>
  <c r="Q81" i="9" s="1"/>
  <c r="N80" i="9"/>
  <c r="Q80" i="9" s="1"/>
  <c r="N79" i="9"/>
  <c r="Q79" i="9" s="1"/>
  <c r="N78" i="9"/>
  <c r="Q78" i="9" s="1"/>
  <c r="N77" i="9"/>
  <c r="Q77" i="9" s="1"/>
  <c r="N76" i="9"/>
  <c r="Q76" i="9" s="1"/>
  <c r="N75" i="9"/>
  <c r="Q75" i="9" s="1"/>
  <c r="N74" i="9"/>
  <c r="Q74" i="9" s="1"/>
  <c r="N73" i="9"/>
  <c r="Q73" i="9" s="1"/>
  <c r="N72" i="9"/>
  <c r="Q72" i="9" s="1"/>
  <c r="N71" i="9"/>
  <c r="Q71" i="9" s="1"/>
  <c r="N70" i="9"/>
  <c r="Q70" i="9" s="1"/>
  <c r="N69" i="9"/>
  <c r="Q69" i="9" s="1"/>
  <c r="F132" i="9" l="1"/>
  <c r="H132" i="9" s="1"/>
  <c r="U330" i="9"/>
  <c r="H140" i="9"/>
  <c r="H139" i="9"/>
  <c r="R339" i="9" l="1"/>
  <c r="U339" i="9" s="1"/>
  <c r="F153" i="9"/>
  <c r="H153" i="9" s="1"/>
  <c r="F154" i="9"/>
  <c r="H154" i="9" s="1"/>
  <c r="R9" i="14"/>
  <c r="F152" i="9"/>
  <c r="H152" i="9" s="1"/>
  <c r="F151" i="9"/>
  <c r="H151" i="9" s="1"/>
  <c r="F150" i="9"/>
  <c r="H150" i="9" s="1"/>
  <c r="F149" i="9"/>
  <c r="H149" i="9" s="1"/>
  <c r="F148" i="9"/>
  <c r="H148" i="9" s="1"/>
  <c r="F147" i="9"/>
  <c r="H147" i="9" s="1"/>
  <c r="F146" i="9"/>
  <c r="H146" i="9" s="1"/>
  <c r="F145" i="9"/>
  <c r="H145" i="9" s="1"/>
  <c r="F144" i="9"/>
  <c r="H144" i="9" s="1"/>
  <c r="F143" i="9"/>
  <c r="H143" i="9" s="1"/>
  <c r="F142" i="9"/>
  <c r="H142" i="9" s="1"/>
  <c r="F108" i="9"/>
  <c r="H108" i="9" s="1"/>
  <c r="H55" i="11"/>
  <c r="R360" i="9" l="1"/>
  <c r="R364" i="9" s="1"/>
  <c r="H137" i="9" l="1"/>
  <c r="H136" i="9" l="1"/>
  <c r="H135" i="9" l="1"/>
  <c r="H134" i="9"/>
  <c r="H133" i="9"/>
  <c r="H123" i="9"/>
  <c r="H124" i="9"/>
  <c r="H122" i="9"/>
  <c r="U359" i="9" l="1"/>
  <c r="U354" i="9"/>
  <c r="F117" i="9"/>
  <c r="H117" i="9" s="1"/>
  <c r="F138" i="9"/>
  <c r="H138" i="9" s="1"/>
  <c r="F110" i="9"/>
  <c r="H110" i="9" s="1"/>
  <c r="F109" i="9"/>
  <c r="H109" i="9" s="1"/>
  <c r="F116" i="9"/>
  <c r="H116" i="9" s="1"/>
  <c r="U360" i="9" l="1"/>
  <c r="H9" i="20"/>
  <c r="H43" i="11" l="1"/>
  <c r="F21" i="20" l="1"/>
  <c r="H29" i="11" l="1"/>
  <c r="F96" i="9"/>
  <c r="F27" i="11" l="1"/>
  <c r="H27" i="11" s="1"/>
  <c r="H21" i="20"/>
  <c r="H96" i="9"/>
  <c r="H95" i="9"/>
  <c r="H26" i="11" l="1"/>
  <c r="F25" i="11"/>
  <c r="H25" i="11" s="1"/>
  <c r="F24" i="11" l="1"/>
  <c r="H24" i="11" s="1"/>
  <c r="H20" i="20"/>
  <c r="F91" i="9"/>
  <c r="H91" i="9" s="1"/>
  <c r="F94" i="9"/>
  <c r="H94" i="9" s="1"/>
  <c r="F93" i="9"/>
  <c r="H93" i="9" s="1"/>
  <c r="F92" i="9"/>
  <c r="H92" i="9" s="1"/>
  <c r="F90" i="9"/>
  <c r="H90" i="9" s="1"/>
  <c r="F89" i="9"/>
  <c r="H89" i="9" s="1"/>
  <c r="F88" i="9"/>
  <c r="H88" i="9" s="1"/>
  <c r="F87" i="9"/>
  <c r="H87" i="9" s="1"/>
  <c r="F86" i="9"/>
  <c r="H86" i="9" s="1"/>
  <c r="F85" i="9"/>
  <c r="H85" i="9" s="1"/>
  <c r="F84" i="9"/>
  <c r="H84" i="9" s="1"/>
  <c r="F83" i="9"/>
  <c r="H83" i="9" s="1"/>
  <c r="F82" i="9"/>
  <c r="H82" i="9" s="1"/>
  <c r="F81" i="9"/>
  <c r="H81" i="9" s="1"/>
  <c r="F80" i="9"/>
  <c r="H80" i="9" s="1"/>
  <c r="F79" i="9"/>
  <c r="H79" i="9" s="1"/>
  <c r="F78" i="9"/>
  <c r="H78" i="9" s="1"/>
  <c r="F77" i="9"/>
  <c r="H77" i="9" s="1"/>
  <c r="F76" i="9" l="1"/>
  <c r="H76" i="9" s="1"/>
  <c r="F75" i="9"/>
  <c r="H75" i="9" s="1"/>
  <c r="F74" i="9"/>
  <c r="H74" i="9" s="1"/>
  <c r="F73" i="9"/>
  <c r="H73" i="9" s="1"/>
  <c r="F72" i="9"/>
  <c r="H72" i="9" s="1"/>
  <c r="F71" i="9"/>
  <c r="H71" i="9" s="1"/>
  <c r="H70" i="9" l="1"/>
  <c r="F70" i="9"/>
  <c r="H69" i="9"/>
  <c r="F69" i="9" l="1"/>
  <c r="H19" i="20" l="1"/>
  <c r="H18" i="20"/>
  <c r="H17" i="20"/>
  <c r="H16" i="20" l="1"/>
  <c r="H10" i="20" l="1"/>
  <c r="Q25" i="13" l="1"/>
  <c r="Q26" i="13" s="1"/>
  <c r="Q27" i="13" s="1"/>
  <c r="Q28" i="13" s="1"/>
  <c r="Q29" i="13" s="1"/>
  <c r="Q30" i="13" s="1"/>
  <c r="Q31" i="13" s="1"/>
  <c r="F23" i="11" l="1"/>
  <c r="H23" i="11" l="1"/>
  <c r="R369" i="9" l="1"/>
  <c r="H22" i="11" l="1"/>
  <c r="H8" i="20" l="1"/>
  <c r="H24" i="9" l="1"/>
  <c r="H23" i="9"/>
  <c r="H22" i="9"/>
  <c r="H21" i="9"/>
  <c r="H20" i="9"/>
  <c r="H19" i="9"/>
  <c r="H18" i="9"/>
  <c r="H17" i="9"/>
  <c r="H16" i="9"/>
  <c r="H15" i="9"/>
  <c r="H14" i="9"/>
  <c r="H13" i="9"/>
  <c r="H12" i="9"/>
  <c r="H11" i="9"/>
  <c r="H10" i="9"/>
  <c r="H8" i="9"/>
  <c r="H9" i="9"/>
  <c r="H8" i="14" l="1"/>
  <c r="Q6" i="14" l="1"/>
  <c r="R10" i="14" s="1"/>
  <c r="R11" i="14" s="1"/>
  <c r="R12" i="14" s="1"/>
  <c r="R13" i="14" s="1"/>
  <c r="R14" i="14" s="1"/>
  <c r="S6" i="14" l="1"/>
  <c r="O21" i="14" l="1"/>
  <c r="R6" i="14" s="1"/>
  <c r="H8" i="13" l="1"/>
  <c r="H8" i="11" l="1"/>
</calcChain>
</file>

<file path=xl/sharedStrings.xml><?xml version="1.0" encoding="utf-8"?>
<sst xmlns="http://schemas.openxmlformats.org/spreadsheetml/2006/main" count="3349" uniqueCount="1277">
  <si>
    <t>ลำดับ</t>
  </si>
  <si>
    <t>ที่</t>
  </si>
  <si>
    <t>รายการ</t>
  </si>
  <si>
    <t>ราคากลาง</t>
  </si>
  <si>
    <t>เลขที่</t>
  </si>
  <si>
    <t>ที่ลงนาม</t>
  </si>
  <si>
    <t>จำนวนเงิน</t>
  </si>
  <si>
    <t>ในสัญญา</t>
  </si>
  <si>
    <t>จากเงิน</t>
  </si>
  <si>
    <t>อะไร</t>
  </si>
  <si>
    <t>ครบกำหนด</t>
  </si>
  <si>
    <t>หน่วยงาน</t>
  </si>
  <si>
    <t>รับผิดชอบ</t>
  </si>
  <si>
    <t>ส่งมอบ</t>
  </si>
  <si>
    <t>ว/ด/ป</t>
  </si>
  <si>
    <t>หมายเหตุ</t>
  </si>
  <si>
    <t>ใบสั่งซื้อ/จ้าง</t>
  </si>
  <si>
    <t>ผู้รับจ้าง/</t>
  </si>
  <si>
    <t>ขาย</t>
  </si>
  <si>
    <t>งบประมาณ</t>
  </si>
  <si>
    <t>จัดสรร</t>
  </si>
  <si>
    <t>เลขที่โครงการ/</t>
  </si>
  <si>
    <t>เลขที่สัญญา</t>
  </si>
  <si>
    <t>เทศบาลตำบลบ้านธาตุ  อำเภอเพ็ญ จังหวัดอุดรธานี</t>
  </si>
  <si>
    <t>เทศบาลตำบลบ้านธาตุ  อำเภอเพ็ญ  จังหวัดอุดรธานี</t>
  </si>
  <si>
    <t>เลขคุมสัญญา</t>
  </si>
  <si>
    <t>กองช่าง</t>
  </si>
  <si>
    <t>ลำดับที่</t>
  </si>
  <si>
    <t>วัน/เดือน/ปี</t>
  </si>
  <si>
    <t>ประเภทรายการ</t>
  </si>
  <si>
    <t>วงเงินงบประมาณ</t>
  </si>
  <si>
    <t>วิธีการจัดหา</t>
  </si>
  <si>
    <t>ทะเบียนคุมใบสั่งจ้าง</t>
  </si>
  <si>
    <t>ทะเบียนคุมใบสั่งซื้อ</t>
  </si>
  <si>
    <t>งปม.</t>
  </si>
  <si>
    <t>ทูน่า</t>
  </si>
  <si>
    <t>ใบสั่งซื้อ</t>
  </si>
  <si>
    <t>กองคลัง</t>
  </si>
  <si>
    <t>กองการศึกษา</t>
  </si>
  <si>
    <t>ตรวจรับ</t>
  </si>
  <si>
    <t>ผู้รับจ้าง/ขาย</t>
  </si>
  <si>
    <t>ทุกสิ้นเดือน</t>
  </si>
  <si>
    <t>เอกสารทำมือ</t>
  </si>
  <si>
    <t>มี vat</t>
  </si>
  <si>
    <t>รายได้</t>
  </si>
  <si>
    <t>รวม</t>
  </si>
  <si>
    <t>ทะเบียนคุมใบสั่งจ้างเครื่องถ่ายเอกสาร</t>
  </si>
  <si>
    <t>ก.พ.</t>
  </si>
  <si>
    <t>เม.ย.</t>
  </si>
  <si>
    <t>พ.ค.</t>
  </si>
  <si>
    <t>มิ.ย.</t>
  </si>
  <si>
    <t>ก.ค.</t>
  </si>
  <si>
    <t>ส.ค.</t>
  </si>
  <si>
    <t>ใช้ไป</t>
  </si>
  <si>
    <t>คงเหลือ</t>
  </si>
  <si>
    <t>นำส่งทำฎีกาแล้ว</t>
  </si>
  <si>
    <t>เช่าใหม่</t>
  </si>
  <si>
    <t>ต.ค.</t>
  </si>
  <si>
    <t>พ.ย.</t>
  </si>
  <si>
    <t>ธ.ค.</t>
  </si>
  <si>
    <t>ม.ค.</t>
  </si>
  <si>
    <t>กองสาธารณสุข</t>
  </si>
  <si>
    <t>ทั้งหมด</t>
  </si>
  <si>
    <t>หมาย</t>
  </si>
  <si>
    <t>เหตุ</t>
  </si>
  <si>
    <t>รวมทั้งสิ้น</t>
  </si>
  <si>
    <t>โอนเพิ่ม</t>
  </si>
  <si>
    <t>ตั้งไว้</t>
  </si>
  <si>
    <t>กองยุทธศาสตร์ฯ</t>
  </si>
  <si>
    <t>ประจำปีงบประมาณ พ.ศ.2565</t>
  </si>
  <si>
    <t>ประจำเดือนตุลาคม 2564 (จำนวน 1 รายการ)</t>
  </si>
  <si>
    <t>1/2565</t>
  </si>
  <si>
    <t>ประจำเดือน  ตุลาคม  2564</t>
  </si>
  <si>
    <t>64107008879/641014008548</t>
  </si>
  <si>
    <t>จัดเช่าเครื่องถ่ายเอกสาร จำนวน 1 เครื่อง จำนวน 12 งวด (ตั้งแต่ ต.ค.64-26 ก.ย.65) ปริมาณถ่ายขั้นต่ำ 20,000 แผ่น/เดือน แผ่นที่เกิน 20,0001 ขึ้นไป ค่าบริการ   แผ่นละ 0.25 บาท</t>
  </si>
  <si>
    <t>ทำใบสั่งจ้าง 12 งวด (ต.ค.-ก.ย.)</t>
  </si>
  <si>
    <t>งวดที่ 1 ต.ค.</t>
  </si>
  <si>
    <t>งวดที่ 2 พ.ย.</t>
  </si>
  <si>
    <t>งวดที่ 3 ธ.ค.</t>
  </si>
  <si>
    <t>งวดที่ 4 ม.ค.</t>
  </si>
  <si>
    <t>งวดที่ 5 ก.พ.</t>
  </si>
  <si>
    <t>งวดที่ 6 มี.ค.</t>
  </si>
  <si>
    <t>งวดที่ 7 เม.ย.</t>
  </si>
  <si>
    <t>งวดที่ 8 พ.ค.</t>
  </si>
  <si>
    <t>งวดที่ 9 มิ.ย.</t>
  </si>
  <si>
    <t>งวดที่ 10 ก.ค.</t>
  </si>
  <si>
    <t>งวดที่ 11 ส.ค.</t>
  </si>
  <si>
    <t>งวดที่ 12 ก.ย.</t>
  </si>
  <si>
    <t>หจก.โอเชี่ยนมาร์เก็ตติ้ง แอนด์ โอ.เอ.        โดย นายเจษฎา อุดมแดงอร่าม           เลขที่ 73/9 หมู่ที่ 1 ต.หมากแข้ง อ.เมืองอุดรธานี จ.อุดรธานี                    ทะเบียนนิติบุคคลเลขที่ 0413541000330 จดทะเบียนเมื่อวันที่ 24 เม.ย.2541 โทร.042-112218</t>
  </si>
  <si>
    <t>1 ต.ค 64</t>
  </si>
  <si>
    <t>18/2565</t>
  </si>
  <si>
    <t>19/2565</t>
  </si>
  <si>
    <t>20/2565</t>
  </si>
  <si>
    <t>21/2565</t>
  </si>
  <si>
    <t>22/2565</t>
  </si>
  <si>
    <t>23/2565</t>
  </si>
  <si>
    <t>24/2565</t>
  </si>
  <si>
    <t>25/2565</t>
  </si>
  <si>
    <t>26/2565</t>
  </si>
  <si>
    <t>27/2565</t>
  </si>
  <si>
    <t>28/2565</t>
  </si>
  <si>
    <t>29/2565</t>
  </si>
  <si>
    <t>30/2565</t>
  </si>
  <si>
    <t>31/2565</t>
  </si>
  <si>
    <t>32/2565</t>
  </si>
  <si>
    <t>33/2565</t>
  </si>
  <si>
    <t>34/2565</t>
  </si>
  <si>
    <t>35/2565</t>
  </si>
  <si>
    <t>2/2565</t>
  </si>
  <si>
    <t>3/2565</t>
  </si>
  <si>
    <t>4/2565</t>
  </si>
  <si>
    <t>5/2565</t>
  </si>
  <si>
    <t>6/2565</t>
  </si>
  <si>
    <t>7/2565</t>
  </si>
  <si>
    <t>8/2565</t>
  </si>
  <si>
    <t>กองยุทธศาสตร์</t>
  </si>
  <si>
    <t>9/2565</t>
  </si>
  <si>
    <t>10/2565</t>
  </si>
  <si>
    <t>11/2565</t>
  </si>
  <si>
    <t>12/2565</t>
  </si>
  <si>
    <t>13/2565</t>
  </si>
  <si>
    <t>14/2565</t>
  </si>
  <si>
    <t>15/2565</t>
  </si>
  <si>
    <t>16/2565</t>
  </si>
  <si>
    <t>จ้างเหมาคนงานทั่วไปปฏิบัติงานด้านข้อมูลสารสนเทศด้านการศึกษาในระบบ SIS และ CCIS ด้านการศึกษา</t>
  </si>
  <si>
    <t>17/2565</t>
  </si>
  <si>
    <r>
      <t xml:space="preserve">จ้างซ่อมแซมครุภัณฑ์สำนักงาน เครื่องปรับอากาศ                     รหัสครุภัณฑ์ 420-56-0033              </t>
    </r>
    <r>
      <rPr>
        <sz val="14"/>
        <color theme="1"/>
        <rFont val="TH SarabunPSK"/>
        <family val="2"/>
      </rPr>
      <t xml:space="preserve"> - ล้างทำความสะอาด เช็คน้ำยา จำนวน 500 บาท                         - เปลี่ยนเซ็นเซอร์ จำนวน 650 บาท</t>
    </r>
  </si>
  <si>
    <t>นายอภิวัฒน์ ผาจวง                               เลขประจำตัวประชาชน 3409900929978        ที่อยู่ 85 หมู่ที่ 6 ต.บ้านธาตุ อ.เพ็ญ จ.อุดรธานี โทร.085-5471606</t>
  </si>
  <si>
    <t>ไม่มีใบส่งมอบ/เก็บค่าอากรฯ 2 บาท</t>
  </si>
  <si>
    <t>64107209128 641014160460</t>
  </si>
  <si>
    <t>37/2565</t>
  </si>
  <si>
    <t>38/2565</t>
  </si>
  <si>
    <t>39/2565</t>
  </si>
  <si>
    <t>40/2565</t>
  </si>
  <si>
    <t>41/2565</t>
  </si>
  <si>
    <t>42/2565</t>
  </si>
  <si>
    <t>43/2565</t>
  </si>
  <si>
    <t>44/2565</t>
  </si>
  <si>
    <r>
      <t>นายบุญญฤทธิ์ ธาตุไพบูลย์                           เลขประจำตัวประชาชน 3411900162131</t>
    </r>
    <r>
      <rPr>
        <sz val="16"/>
        <color rgb="FFFF0000"/>
        <rFont val="TH SarabunPSK"/>
        <family val="2"/>
      </rPr>
      <t xml:space="preserve">      </t>
    </r>
    <r>
      <rPr>
        <sz val="16"/>
        <color theme="1"/>
        <rFont val="TH SarabunPSK"/>
        <family val="2"/>
      </rPr>
      <t>ที่อยู่ 58 หมู่ที่ 1 ต.บ้านธาตุ อ.เพ็ญ จ.อุดรธานี จำนวน 3 เดือนๆ ละ 9,000 บาท             (1ต.ค.-31 ธ.ค.64)</t>
    </r>
  </si>
  <si>
    <t>45/2565</t>
  </si>
  <si>
    <t>46/2565</t>
  </si>
  <si>
    <t>47/2565</t>
  </si>
  <si>
    <t>36/2565</t>
  </si>
  <si>
    <t>48/2565</t>
  </si>
  <si>
    <t>64107295524 64101424082</t>
  </si>
  <si>
    <t>บริษัทแมรี่ แอน แดรี่ โปรดักส์ จำกัด      โดยนายคำตา อดทน 123 หมู่ที่ 4           ต.สนามแย้ อ.ท่ามะกา จ.กาญจนบุรี 70190 โทร.085-1047184                      เลขประจำตัวผู้เสียภาษีอากร                   เลขที่ 0105542091554</t>
  </si>
  <si>
    <t>51/2565</t>
  </si>
  <si>
    <t>52/2565</t>
  </si>
  <si>
    <r>
      <t>นายวิเชียร แก้วเวียง                               เลขประจำตัวประชาชน 5411900019610</t>
    </r>
    <r>
      <rPr>
        <sz val="16"/>
        <color rgb="FFFF0000"/>
        <rFont val="TH SarabunPSK"/>
        <family val="2"/>
      </rPr>
      <t xml:space="preserve">        </t>
    </r>
    <r>
      <rPr>
        <sz val="16"/>
        <color theme="1"/>
        <rFont val="TH SarabunPSK"/>
        <family val="2"/>
      </rPr>
      <t>ที่อยู่ 118 หมู่ที่ 8 ต.บ้านธาตุ อ.เพ็ญ จ.อุดรธานี จำนวน 3 เดือนๆ ละ 9,000 บาท             (1ต.ค.-31 ธ.ค.64)</t>
    </r>
  </si>
  <si>
    <t xml:space="preserve"> - ขับกู้ชีพ</t>
  </si>
  <si>
    <t xml:space="preserve"> - ขับรถขยะ</t>
  </si>
  <si>
    <t>53/2565</t>
  </si>
  <si>
    <t>54/2565</t>
  </si>
  <si>
    <t>49/2565</t>
  </si>
  <si>
    <t>50/2565</t>
  </si>
  <si>
    <t xml:space="preserve"> - จนท.ประจำรถกู้ชีพ</t>
  </si>
  <si>
    <t>56/2565</t>
  </si>
  <si>
    <t>57/2565</t>
  </si>
  <si>
    <t>58/2565</t>
  </si>
  <si>
    <t>59/2565</t>
  </si>
  <si>
    <r>
      <t>นายอาวุธ คุณวงษ์                               เลขประจำตัวประชาชน 3411900167655</t>
    </r>
    <r>
      <rPr>
        <sz val="16"/>
        <color rgb="FFFF0000"/>
        <rFont val="TH SarabunPSK"/>
        <family val="2"/>
      </rPr>
      <t xml:space="preserve">        </t>
    </r>
    <r>
      <rPr>
        <sz val="16"/>
        <color theme="1"/>
        <rFont val="TH SarabunPSK"/>
        <family val="2"/>
      </rPr>
      <t>ที่อยู่ 281 หมู่ที่ 18 ต.บ้านธาตุ อ.เพ็ญ จ.อุดรธานี จำนวน 3 เดือนๆ ละ 9,000 บาท             (1ต.ค.-31 ธ.ค.64)</t>
    </r>
  </si>
  <si>
    <t>64117031057 641114025314</t>
  </si>
  <si>
    <t>ประจำเดือน  ตุลาคม 2564 (รวม  1  รายการ)</t>
  </si>
  <si>
    <t>60/2565</t>
  </si>
  <si>
    <t>61/2565</t>
  </si>
  <si>
    <t>มี vat แก้ไข</t>
  </si>
  <si>
    <t>จัดซื้อครุภัณฑ์สำนักงาน เครื่องปรับอากาศแบบแยกส่วน ชนิดติดผนัง (มีระบบฟอกอากาศ) ขนาด 18,000 บีทียู จำนวน 1 เครื่อง               รหัสครุภัณฑ์ 420-65-0001</t>
  </si>
  <si>
    <t>64117062357 641114051017</t>
  </si>
  <si>
    <t>1.เครื่องสำรองไฟ รหัสครุภัณฑ์ 416-65-0001-4     2.เครื่องพิมพ์ฯ รหัสครุภัณฑ์ 416-65-0005           3.คอมพิวเตอร์โน้ตบุ๊ก รหัสครุภัณฑ์ 416-65-0006</t>
  </si>
  <si>
    <t xml:space="preserve">จัดซื้อครุภัณฑ์คอมพิวเตอร์ 1.เครื่องสำรองไฟ ขนาด 800 VA จำนวน 4 เครื่องๆละ 2,500 บาท 2.เครื่องพิมพ์ Multifunction แบบฉีดหมึก จำนวน 1 เครื่องๆละ 7,500 บาท                3.คอมพิวเตอร์โน้ตบุ๊ก จำนวน 1 เครื่องๆละ 22,000 บาท </t>
  </si>
  <si>
    <t>บริษัทรัชชานนท์ 99 จำกัด โดยวาสนา ถิตย์สิทธิ์ 42 หมู่ 20 ต.บ้านธาตุ อ.เพ็ญ จ.อุดรธานี            ทะเบียนนิติบุคคลเลขที่ 0415563001322</t>
  </si>
  <si>
    <t>ห้างหุ้นส่วนจำกัด ทรัพย์ทวี กม.6 (สาขา1) โดยพันจ่าโทอภิวัฒ โรจจิรวัฒน์ 199 หมู่ 13 ต.เพ็ญ อ.เพ็ญ จ.อุดรธานี โทร.064-4892768 เลขประจำตัวผู้เสียภาษี เลขที่ 0433554000899</t>
  </si>
  <si>
    <t>ตามวงเงิน 500,000 บาท</t>
  </si>
  <si>
    <t>64107255674 6410141194693</t>
  </si>
  <si>
    <t xml:space="preserve">จ้างซ่อมแซมครุภัณฑ์ยานพาหนะรถยนต์ส่วนกลาง ทะเบียน ผค9902 อุดรธานี                              รหัสครุภัณฑ์ 001-58-0006            </t>
  </si>
  <si>
    <t>บริษัทโชคดีการยางอุดร โดย นางผุสดี ปิติคำพร    425 หมู่ที่ 7 ถนนอุดร-หนองคาย ต.หนองบัว       อ.เมืองอุดรธานี จ.อุดรธานี โทร.042-248750 เลขประจำตัวผู้เสียภาษี 0415558001557</t>
  </si>
  <si>
    <t>64117112039 641114095495</t>
  </si>
  <si>
    <t>ยังไม่พิมพ์ใบตรวจรับ</t>
  </si>
  <si>
    <t xml:space="preserve">จ้างซ่อมแซมครุภัณฑ์คอมพิวเตอร์   คอมพิวเตอร์  รหัสครุภัณฑ์ 416-56-0070  คอมพิวเตอร์   รหัสครุภัณฑ์ 416-60-0098   เครื่องพิมพ์  รหัสครุภัณฑ์ 416-52-0016      </t>
  </si>
  <si>
    <t xml:space="preserve">จ้างซ่อมแซมครุภัณฑ์ยานพาหนะรถยนต์ส่วนกลาง (กู้ชีพ)           ทะเบียน นข 3603 อุดรธานี             รหัสครุภัณฑ์ 001-52-0002            </t>
  </si>
  <si>
    <t>64117134841 641114163242</t>
  </si>
  <si>
    <t>ยังไม่พิมพ์ใบตรวจรับ         ยังไม่ติดอากร 22 บ</t>
  </si>
  <si>
    <t>64117208714 641114165925</t>
  </si>
  <si>
    <t>จ้างเหมาถ่ายเอกสารพร้อมเข้าเล่มปกสีเคลือบมันทำสัน แผนพัฒนาท้องถิ่นประจำปี พ.ศ.2564 จำนวน 50 เล่มๆละ 430 บาท</t>
  </si>
  <si>
    <t>ร้านรุ่งรัตน์บริการ โดยนางรุ่งรัตน์ กองโส       4/13 ถนนเบญจางค์ ต.หมากแข้ง อ.เมืองอุดรธานี จ.อุดรธานี                                          เลขประจำตัวผู้เสียภาษี 5410100154015</t>
  </si>
  <si>
    <t>หจก.พงษ์ภัคคอนกรีต (2012)    โดยนายสุทธิพงษ์ มิ่งคำมี   บ้านโคกลาน 33 หมู่ 5          ต.เขือน้ำ อ.บ้านผือ                จ.อุดรธานี   ทะเบียนนิติบุคคลเลขที่ 041356200243 จดทะเบียน 18 ก.ย.2562</t>
  </si>
  <si>
    <t>62/2565</t>
  </si>
  <si>
    <t xml:space="preserve">จ้างเหมาบริการงานด้านพัสดุ         จำนวน 6 เดือนๆละ 9,000 บาท          (1 ต.ค.64 - 31 มี.ค.65) </t>
  </si>
  <si>
    <t xml:space="preserve">นางสาวฐิติพรรณ ธาตุวิสัย                        เลขประจำตัวประชาชน 1411900199186       ที่อยู่ 231 หมู่ที่ 8 ต.บ้านธาตุ อ.เพ็ญ จ.อุดรธานี </t>
  </si>
  <si>
    <t xml:space="preserve">นางสาวสมาภรณ์ สุสุวรรณ                       เลขประจำตัวประชาชน 1411900168272       ที่อยู่ 193 หมู่ที่ 2 ต.บ้านธาตุ อ.เพ็ญ จ.อุดรธานี </t>
  </si>
  <si>
    <t>จ้างเหมาบริการงานด้านจัดเก็บรายได้ จำนวน 6 เดือนๆละ 9,000 บาท         (1 ต.ค.-31 มี.ค.65)</t>
  </si>
  <si>
    <t xml:space="preserve">นางสาวทวินันท์ โคตะวิน                          เลขประจำตัวประชาชน 1419900550069       ที่อยู่ 13 หมู่ที่ 12 ต.บ้านธาตุ อ.เพ็ญ จ.อุดรธานี </t>
  </si>
  <si>
    <t xml:space="preserve">นายณัฐวุฒิ สีมืด                                  เลขประจำตัวประชาชน 1411900249108       ที่อยู่ 51 หมู่ที่ 2 ต.บ้านธาตุ อ.เพ็ญ จ.อุดรธานี </t>
  </si>
  <si>
    <t xml:space="preserve">นายพุทธพงษ์ พรหมมาศ                          เลขประจำตัวประชาชน 3420900705401        ที่อยู่ 170 หมู่ที่ 4 ต.บ้านธาตุ อ.เพ็ญ จ.อุดรธานี </t>
  </si>
  <si>
    <t xml:space="preserve">นางสาวดาราภรณ์ คุ้มบุ่งค้า                          เลขประจำตัวประชาชน 1411900303412       ที่อยู่ 92 หมู่ที่ 4 ต.บ้านธาตุ อ.เพ็ญ จ.อุดรธานี </t>
  </si>
  <si>
    <t>จ้างเหมาบริการงานด้านงานธุรการ จำนวน 6 เดือนๆละ 9,000 บาท         (1 ต.ค.64 - 31 มี.ค.65)</t>
  </si>
  <si>
    <t xml:space="preserve">นางสาววริศรา สุปะเม                            เลขประจำตัวประชาชน 1411900220185       ที่อยู่ 139 หมู่ที่ 4 ต.บ้านธาตุ อ.เพ็ญ จ.อุดรธานี </t>
  </si>
  <si>
    <t xml:space="preserve">นายวัชระ ชินบุตร                                เลขประจำตัวประชาชน 1411900197035       ที่อยู่ 329 หมู่ที่ 18 ต.บ้านธาตุ อ.เพ็ญ จ.อุดรธานี </t>
  </si>
  <si>
    <t xml:space="preserve">นางสาวศรัญยา ผิวผาง                            เลขประจำตัวประชาชน 1419900621420       ที่อยู่ 85 หมู่ที่ 8 ต.บ้านธาตุ อ.เพ็ญ จ.อุดรธานี </t>
  </si>
  <si>
    <t xml:space="preserve">นางสาวสุขใจ อุปชา                               เลขประจำตัวประชาชน 1411900039201       ที่อยู่ 237 หมู่ที่ 20 ต.บ้านธาตุ อ.เพ็ญ จ.อุดรธานี </t>
  </si>
  <si>
    <t xml:space="preserve">นางสาวช่อผกา ธาตุไพบูลย์                           เลขประจำตัวประชาชน 1411900269851       ที่อยู่ 255 หมู่ที่ 18 ต.บ้านธาตุ อ.เพ็ญ จ.อุดรธานี </t>
  </si>
  <si>
    <t>จ้างเหมาบริการงานผู้ปฏิบัติหน้าที่ดูแลระบบสารสนเทศและการสื่อสาร    บันทึกข้อมูล                           จำนวน 3 เดือนๆละ 9,000 บาท         (1 ต.ค.64 - 31 ธ.ค.64)</t>
  </si>
  <si>
    <t>จ้างเหมาคนงานทั่วไปปฏิบัติงานในศูนย์พันาเด็กเล็ก บ้านนาคอมนาดอกไม้ จำนวน 3 เดือนๆละ 9,000 บาท         (1 ต.ค.64 - 31 ธ.ค. 64)</t>
  </si>
  <si>
    <t>จ้างเหมาคนงานทั่วไปปฏิบัติงานใน   ศูนย์พันาเด็กเล็กบ้านนาคอมนาดอกไม้ จำนวน 3 เดือนๆละ 9,000 บาท         (1 ต.ค.64-31 ธ.ค. 64)</t>
  </si>
  <si>
    <t xml:space="preserve">นางสาวชลธิชา โคตรจันทร์                         เลขประจำตัวประชาชน 1411900299245       ที่อยู่ 249 หมู่ที่ 18 ต.บ้านธาตุ อ.เพ็ญ จ.อุดรธานี </t>
  </si>
  <si>
    <t>จ้างเหมาคนงานทั่วไปปฏิบัติงานใน   ศูนย์พันาเด็กเล็กโรงเรียนหมูม่นโพนสว่าง จำนวน 3 เดือนๆละ 9,000 บาท       (1 ต.ค.64 - 31 ธ.ค. 64)</t>
  </si>
  <si>
    <t xml:space="preserve">นางสาวนวลอนงค์ พละดล                         เลขประจำตัวประชาชน 1461200121940       ที่อยู่ 59 หมู่ที่ 3 ต.บ้านธาตุ อ.เพ็ญ จ.อุดรธานี </t>
  </si>
  <si>
    <t>จ้างเหมาคนงานทั่วไปปฏิบัติงานใน   ศูนย์พันาเด็กเล็กโรงเรียนบ้านดอนแก้ว จำนวน 3 เดือนๆ ละ 9,000 บาท        (1 ต.ค. 64 - 31 ธ.ค. 64)</t>
  </si>
  <si>
    <t>จ้างเหมาคนงานทั่วไปปฏิบัติงานใน   ศูนย์พันาเด็กเล็กวัดบุญสวาท         จำนวน 3 เดือนๆ ละ 9,000 บาท        (1 ต.ค. 64 -31 ธ.ค.64)</t>
  </si>
  <si>
    <t xml:space="preserve">นางสาวสุภัสสร ผาละนัด                         เลขประจำตัวประชาชน 1411900229115       ที่อยู่ 45 หมู่ที่ 9 ต.บ้านธาตุ อ.เพ็ญ จ.อุดรธานี </t>
  </si>
  <si>
    <t>จ้างเหมาคนงานทั่วไปปฏิบัติงานใน   ศูนย์พันาเด็กเล็กบ้านนาพูนทรัพย์ จำนวน 3 เดือนๆละ 9,000 บาท        (1 ต.ค.64 - 31 ธ.ค. 64)</t>
  </si>
  <si>
    <t xml:space="preserve">นางสาวทิพย์สุดา ธาตุไพบูลย์                        เลขประจำตัวประชาชน 1411900206239       ที่อยู่ 7 หมู่ที่ 14 ต.บ้านธาตุ อ.เพ็ญ จ.อุดรธานี </t>
  </si>
  <si>
    <t>จ้างเหมาคนงานทั่วไปปฏิบัติงานธุรการและการปฏิบัติงานด้านอื่นๆ             จำนวน 3 เดือนๆ ละ 9,000 บาท       (1 ต.ค.- 31 ธ.ค. 64)</t>
  </si>
  <si>
    <t xml:space="preserve">นางสาวณัฑปภัทร กาหวาย                          เลขประจำตัวประชาชน 1411900174809       ที่อยู่ 265 หมู่ที่ 17 ต.บ้านธาตุ อ.เพ็ญ จ.อุดรธานี </t>
  </si>
  <si>
    <t>จ้างเหมาบริการคนงานดูแลระบบน้ำผลิตน้ำประปาบ้านสังซา หมู่ที่ 8       จำนวน 3 เดือนๆ ละ 9,000 บาท       (1 ต.ค.- 31 ธ.ค. 64)</t>
  </si>
  <si>
    <t>จ้างเหมาคนงานช่วยบันทึกข้อมูล จำนวน 3 เดือนๆ ละ 9,000 บาท       (1 ต.ค.- 31 ธ.ค. 64)</t>
  </si>
  <si>
    <t>จ้างเหมาคนงานขับรถกระเช้าไฟฟ้า จำนวน 3 เดือนๆ ละ 9,000 บาท       (1 ต.ค.- 31 ธ.ค. 64)</t>
  </si>
  <si>
    <t>จ้างเหมาคนงานขับรถตักหน้าขุดหลัง จำนวน 3 เดือนๆ ละ 9,000 บาท       (1 ต.ค.- 31 ธ.ค. 64)</t>
  </si>
  <si>
    <t>จ้างเหมาคนงานดูแลระบบไฟฟ้าสาธารณะและระบบประปาภายในบริเวณเขตเทศบาลตำบลบ้านธาตุ              จำนวน 3 เดือนๆ ละ 9,000 บาท       (1 ต.ค.- 31 ธ.ค. 64)</t>
  </si>
  <si>
    <t>จ้างเหมาคนงานดูแลระบบน้ำประปา บ้านโนนสมบูรณ์ หมู่ที่ 15                จำนวน 3 เดือนๆ ละ 9,000 บาท       (1 ต.ค.- 31 ธ.ค. 64)</t>
  </si>
  <si>
    <t>จ้างเหมาคนงานดูแลระบบน้ำประปา บ้านนาคอม หมู่ที่ 3                  จำนวน 3 เดือนๆ ละ 9,000 บาท       (1 ต.ค.- 31 ธ.ค. 64)</t>
  </si>
  <si>
    <t>จ้างเหมาคนงานดูแลระบบผลิตน้ำประปา บ้านหมูม่น หมู่ที่ 7           จำนวน 3 เดือนๆ ละ 9,000 บาท       (1 ต.ค.- 31 ธ.ค. 64)</t>
  </si>
  <si>
    <t>จ้างเหมาคนงานตัดหญ้าและดูแลตัดแต่งต้นไม้พร้อมเก็บขน                    จำนวน 3 เดือนๆ ละ 9,000 บาท       (1 ต.ค.- 31 ธ.ค. 64)</t>
  </si>
  <si>
    <t>จ้างเหมาคนงานเฝ้าสถานีสูบน้ำด้วยไฟฟ้าบ้านดอนแก้ว หมู่ที่ 6               จำนวน 3 เดือนๆ ละ 9,000 บาท       (1 ต.ค.- 31 ธ.ค. 64)</t>
  </si>
  <si>
    <t>จ้างเหมาคนงานดูแลระบบน้ำประปา บ้านนาพูนทรัพย์ หมู่ที่ 14                จำนวน 3 เดือนๆ ละ 9,000 บาท        (1 ต.ค.- 31 ธ.ค. 64)</t>
  </si>
  <si>
    <t>จ้างเหมาคนงานเฝ้าสถานีสูบน้ำด้วยไฟฟ้าบ้านนาคอม (หัวภูดิน) หมู่ที่ 3 จำนวน 3 เดือนๆ ละ 9,000 บาท       (1 ต.ค.- 31 ธ.ค. 64)</t>
  </si>
  <si>
    <t>จ้างเหมาคนงานตัดหญ้าและดูแลตัดแต่งต้นไม้พร้อมเก็บขน                   จำนวน 3 เดือนๆ ละ 9,000 บาท       (1 ต.ค.- 31 ธ.ค. 64)</t>
  </si>
  <si>
    <t>จ้างเหมาคนงานดูแลระบบน้ำประปา บ้านถิ่น หมู่ที่ 5                       จำนวน 3 เดือนๆ ละ 9,000 บาท       (1 ต.ค.- 31 ธ.ค. 64)</t>
  </si>
  <si>
    <t>จ้างเหมาคนงานดูแลระบบน้ำประปา บ้านโพน หมู่ที่ 4                    จำนวน 3 เดือนๆ ละ 9,000 บาท       (1 ต.ค.- 31 ธ.ค. 64)</t>
  </si>
  <si>
    <t>จ้างเหมาคนงานดูแลระบบน้ำประปา บ้านนิคม หมู่ที่ 13                  จำนวน 3 เดือนๆ ละ 9,000 บาท       (1 ต.ค.- 31 ธ.ค. 64)</t>
  </si>
  <si>
    <t>จ้างเหมาคนงานดูแลระบบน้ำประปา บ้านนาดอกไม้ หมู่ที่ 11               จำนวน 3 เดือนๆ ละ 9,000 บาท       (1 ต.ค.- 31 ธ.ค. 64)</t>
  </si>
  <si>
    <t>จ้างเหมาคนงานดูแลระบบน้ำประปา บ้านธาตุ หมู่ที่ 10                     จำนวน 3 เดือนๆ ละ 9,000 บาท       (1 ต.ค.- 31 ธ.ค. 64)</t>
  </si>
  <si>
    <t>จ้างเหมาบริการบันทึกข้อมูลและช่วยปฏิบัติงานด้านสาธารณสุขและสิ่งแวดล้อม                                  จำนวน 3 เดือนๆ ละ 9,000 บาท       (1 ต.ค.- 31 ธ.ค. 64)</t>
  </si>
  <si>
    <t>จ้างเหมาคนงานประจำรถขยะมูลฝอย จำนวน 3 เดือนๆ ละ 9,000 บาท       (1 ต.ค.- 31 ธ.ค. 64)</t>
  </si>
  <si>
    <t>จ้างเหมาบริการบันทึกข้อมูลและช่วยปฏิบัติงานด้านสาธารณสุขและสิ่งแวดล้อมจำนวน 3 เดือนๆ ละ 9,000 บาท       (1 ต.ค.- 31 ธ.ค. 64)</t>
  </si>
  <si>
    <t>จ้างเหมาบริการคนงานบันทึกข้อมูลและช่วยปฏิบัติงานธุรการ จำนวน 3 เดือนๆ ละ 9,000 บาท       (1 ต.ค.- 31 ธ.ค. 64)</t>
  </si>
  <si>
    <t>จ้างเหมาพนักงานขับรถกู้ชีพฉุกเฉิน จำนวน 3 เดือนๆ ละ 9,000 บาท       (1 ต.ค.- 31 ธ.ค. 64)</t>
  </si>
  <si>
    <t>จ้างเหมาพนักงานขับรถบรรทุกขยะ จำนวน 3 เดือนๆ ละ 9,000 บาท       (1 ต.ค.- 31 ธ.ค. 64)</t>
  </si>
  <si>
    <t>จ้างเหมาบริการทำหน้าที่ผู้ปฏิบัติหน้าที่ด้านการแพทย์ฉุกเฉินเทศบาลตำบลบ้านธาตุ จำนวน 3 เดือนๆ ละ 9,000 บาท       (1 ต.ค.- 31 ธ.ค. 64)</t>
  </si>
  <si>
    <t>จ้างเหมาบริการทำหน้าที่ผู้ปฏิบัติหน้าที่วิทยุสื่อสาร จำนวน 3 เดือนๆ ละ 9,000 บาท       (1 ต.ค.- 31 ธ.ค. 64)</t>
  </si>
  <si>
    <t xml:space="preserve">นายธวัชชัย ภาษาเวทย์                            เลขประจำตัวประชาชน 1439900085471        ที่อยู่ 261 หมู่ที่ 8 ต.บ้านธาตุ อ.เพ็ญ จ.อุดรธานี </t>
  </si>
  <si>
    <t xml:space="preserve">นางสาวภคนันท์  บูราณรมณ์                         เลขประจำตัวประชาชน 1101800530517        ที่อยู่ 231 หมู่ที่ 7 ต.บ้านธาตุ อ.เพ็ญ จ.อุดรธานี </t>
  </si>
  <si>
    <t>นายศักดิ์ชัย ธาตุทอง                            เลขประจำตัวประชาชน 3411900163773        ที่อยู่ 324 หมู่ที่ 1 ต.บ้านธาตุ อ.เพ็ญ จ.อุดรธานี จำนวน</t>
  </si>
  <si>
    <t xml:space="preserve">นายสุเพชร ธาตุวิสัย                               เลขประจำตัวประชาชน 3411900452741        ที่อยู่ 176 หมู่ที่ 3 ต.บ้านธาตุ อ.เพ็ญ จ.อุดรธานี </t>
  </si>
  <si>
    <t xml:space="preserve">นายนำชัย  ธรรมธาตุ                            เลขประจำตัวประชาชน 3411900164036        ที่อยู่ 372 หมู่ที่ 18 ต.บ้านธาตุ อ.เพ็ญ จ.อุดรธานี  </t>
  </si>
  <si>
    <t xml:space="preserve">นายชิตพล กาทอง                                 เลขประจำตัวประชาชน 1411900221921        ที่อยู่ 76 หมู่ที่ 9 ต.บ้านธาตุ อ.เพ็ญ จ.อุดรธานี  </t>
  </si>
  <si>
    <t xml:space="preserve">นายรัชนัย สุระคาย                                  เลขประจำตัวประชาชน 141190018481        ที่อยู่ 36 หมู่ที่ 7 ต.บ้านธาตุ อ.เพ็ญ จ.อุดรธานี  </t>
  </si>
  <si>
    <t xml:space="preserve">นายวิรุจน์ เตณวงค์                                 เลขประจำตัวประชาชน 3411900579821        ที่อยู่ 56 หมู่ที่ 11 ต.บ้านธาตุ อ.เพ็ญ จ.อุดรธานี  </t>
  </si>
  <si>
    <t xml:space="preserve">นายสมคิด ธาตุทอง                                 เลขประจำตัวประชาชน 3411900587638       ที่อยู่ 59 หมู่ที่ 6 ต.บ้านธาตุ อ.เพ็ญ จ.อุดรธานี  </t>
  </si>
  <si>
    <t xml:space="preserve">นายอุทัย เก่งทำ                                 เลขประจำตัวประชาชน 3411900589398       ที่อยู่ 48 หมู่ที่ 6 ต.บ้านธาตุ อ.เพ็ญ จ.อุดรธานี  </t>
  </si>
  <si>
    <t xml:space="preserve">นายอุทัย ทุมมานอก                                 เลขประจำตัวประชาชน 3411900575451       ที่อยู่ 34 หมู่ที่ 5 ต.บ้านธาตุ อ.เพ็ญ จ.อุดรธานี  </t>
  </si>
  <si>
    <t xml:space="preserve">นายอุดม สุระคาย                                เลขประจำตัวประชาชน 3411900575214       ที่อยู่ 163 หมู่ที่ 4 ต.บ้านธาตุ อ.เพ็ญ จ.อุดรธานี  </t>
  </si>
  <si>
    <t xml:space="preserve">นายสงวนศิลป์ พาพิมพ์                                เลขประจำตัวประชาชน 343020036811        ที่อยู่ 112 หมู่ที่ 9 ต.บ้านธาตุ อ.เพ็ญ จ.อุดรธานี  </t>
  </si>
  <si>
    <t xml:space="preserve">นายกฤษฎา กาหวาย                               เลขประจำตัวประชาชน 1411900277055        ที่อยู่ 265 หมู่ที่ 17 ต.บ้านธาตุ อ.เพ็ญ จ.อุดรธานี  </t>
  </si>
  <si>
    <r>
      <t>นายชาตรี สุมงคล                                  เลขประจำตัวประชาชน 1411901311613</t>
    </r>
    <r>
      <rPr>
        <sz val="16"/>
        <color rgb="FFFF0000"/>
        <rFont val="TH SarabunPSK"/>
        <family val="2"/>
      </rPr>
      <t xml:space="preserve">        </t>
    </r>
    <r>
      <rPr>
        <sz val="16"/>
        <color theme="1"/>
        <rFont val="TH SarabunPSK"/>
        <family val="2"/>
      </rPr>
      <t xml:space="preserve">ที่อยู่ 131 หมู่ที่ 6 ต.บ้านธาตุ อ.เพ็ญ จ.อุดรธานี  </t>
    </r>
  </si>
  <si>
    <t xml:space="preserve">นายประกอบ ผาชา                               เลขประจำตัวประชาชน 3430500022748        ที่อยู่ 19 หมู่ที่ 9 ต.บ้านธาตุ อ.เพ็ญ จ.อุดรธานี  </t>
  </si>
  <si>
    <r>
      <t>นายไชยา ศรีบุระ                                  เลขประจำตัวประชาชน 33402500309597</t>
    </r>
    <r>
      <rPr>
        <sz val="16"/>
        <color rgb="FFFF0000"/>
        <rFont val="TH SarabunPSK"/>
        <family val="2"/>
      </rPr>
      <t xml:space="preserve">      </t>
    </r>
    <r>
      <rPr>
        <sz val="16"/>
        <color theme="1"/>
        <rFont val="TH SarabunPSK"/>
        <family val="2"/>
      </rPr>
      <t xml:space="preserve">ที่อยู่ 157 หมู่ที่ 14 ต.บ้านธาตุ อ.เพ็ญ จ.อุดรธานี  </t>
    </r>
  </si>
  <si>
    <r>
      <t>นายชาญชัย ธาตุทอง                              เลขประจำตัวประชาชน 3411900697620</t>
    </r>
    <r>
      <rPr>
        <sz val="16"/>
        <color rgb="FFFF0000"/>
        <rFont val="TH SarabunPSK"/>
        <family val="2"/>
      </rPr>
      <t xml:space="preserve">      </t>
    </r>
    <r>
      <rPr>
        <sz val="16"/>
        <color theme="1"/>
        <rFont val="TH SarabunPSK"/>
        <family val="2"/>
      </rPr>
      <t xml:space="preserve">ที่อยู่ 168 หมู่ที่ 18 ต.บ้านธาตุ อ.เพ็ญ จ.อุดรธานี  </t>
    </r>
  </si>
  <si>
    <r>
      <t>นายชยพล พิลาทา                                  เลขประจำตัวประชาชน 1100500507802</t>
    </r>
    <r>
      <rPr>
        <sz val="16"/>
        <color rgb="FFFF0000"/>
        <rFont val="TH SarabunPSK"/>
        <family val="2"/>
      </rPr>
      <t xml:space="preserve">        </t>
    </r>
    <r>
      <rPr>
        <sz val="16"/>
        <color theme="1"/>
        <rFont val="TH SarabunPSK"/>
        <family val="2"/>
      </rPr>
      <t xml:space="preserve">ที่อยู่ 195 หมู่ที่ 13 ต.บ้านธาตุ อ.เพ็ญ จ.อุดรธานี  </t>
    </r>
  </si>
  <si>
    <r>
      <t>นายบุญเหลือ บุตรด้วง                                เลขประจำตัวประชาชน 3411900716136</t>
    </r>
    <r>
      <rPr>
        <sz val="16"/>
        <color rgb="FFFF0000"/>
        <rFont val="TH SarabunPSK"/>
        <family val="2"/>
      </rPr>
      <t xml:space="preserve">       </t>
    </r>
    <r>
      <rPr>
        <sz val="16"/>
        <color theme="1"/>
        <rFont val="TH SarabunPSK"/>
        <family val="2"/>
      </rPr>
      <t xml:space="preserve">ที่อยู่ 91 หมู่ที่ 14 ต.บ้านธาตุ อ.เพ็ญ จ.อุดรธานี  </t>
    </r>
  </si>
  <si>
    <r>
      <t>นายทองสา ชิณบุตร                                เลขประจำตัวประชาชน 3411900700809</t>
    </r>
    <r>
      <rPr>
        <sz val="16"/>
        <color rgb="FFFF0000"/>
        <rFont val="TH SarabunPSK"/>
        <family val="2"/>
      </rPr>
      <t xml:space="preserve">      </t>
    </r>
    <r>
      <rPr>
        <sz val="16"/>
        <color theme="1"/>
        <rFont val="TH SarabunPSK"/>
        <family val="2"/>
      </rPr>
      <t xml:space="preserve">ที่อยู่ 102 หมู่ที่ 14 ต.บ้านธาตุ อ.เพ็ญ จ.อุดรธานี  </t>
    </r>
  </si>
  <si>
    <r>
      <t>นายสนิท บุตรด้วง                               เลขประจำตัวประชาชน 3411900702291</t>
    </r>
    <r>
      <rPr>
        <sz val="16"/>
        <color rgb="FFFF0000"/>
        <rFont val="TH SarabunPSK"/>
        <family val="2"/>
      </rPr>
      <t xml:space="preserve">        </t>
    </r>
    <r>
      <rPr>
        <sz val="16"/>
        <color theme="1"/>
        <rFont val="TH SarabunPSK"/>
        <family val="2"/>
      </rPr>
      <t xml:space="preserve">ที่อยู่ 263 หมู่ที่ 19 ต.บ้านธาตุ อ.เพ็ญ จ.อุดรธานี  </t>
    </r>
  </si>
  <si>
    <r>
      <t>นายอภิธรรม ธรรมประวัติ                             เลขประจำตัวประชาชน 1411900161685</t>
    </r>
    <r>
      <rPr>
        <sz val="16"/>
        <color rgb="FFFF0000"/>
        <rFont val="TH SarabunPSK"/>
        <family val="2"/>
      </rPr>
      <t xml:space="preserve">        </t>
    </r>
    <r>
      <rPr>
        <sz val="16"/>
        <color theme="1"/>
        <rFont val="TH SarabunPSK"/>
        <family val="2"/>
      </rPr>
      <t xml:space="preserve">ที่อยู่ 169 หมู่ที่ 5 ต.บ้านธาตุ อ.เพ็ญ จ.อุดรธานี  </t>
    </r>
  </si>
  <si>
    <t>63/2565</t>
  </si>
  <si>
    <t>64/2565</t>
  </si>
  <si>
    <r>
      <t>น.ส.สุพัฒสร สุมงคล                              เลขประจำตัวประชาชน 3411900159601</t>
    </r>
    <r>
      <rPr>
        <sz val="16"/>
        <color rgb="FFFF0000"/>
        <rFont val="TH SarabunPSK"/>
        <family val="2"/>
      </rPr>
      <t xml:space="preserve">        </t>
    </r>
    <r>
      <rPr>
        <sz val="16"/>
        <color theme="1"/>
        <rFont val="TH SarabunPSK"/>
        <family val="2"/>
      </rPr>
      <t xml:space="preserve">ที่อยู่ 44 หมู่ที่ 20 ต.บ้านธาตุ อ.เพ็ญ จ.อุดรธานี </t>
    </r>
  </si>
  <si>
    <r>
      <t>นางศรีจันทร์ กาหวาย                             เลขประจำตัวประชาชน 3411900168619</t>
    </r>
    <r>
      <rPr>
        <sz val="16"/>
        <color rgb="FFFF0000"/>
        <rFont val="TH SarabunPSK"/>
        <family val="2"/>
      </rPr>
      <t xml:space="preserve">        </t>
    </r>
    <r>
      <rPr>
        <sz val="16"/>
        <color theme="1"/>
        <rFont val="TH SarabunPSK"/>
        <family val="2"/>
      </rPr>
      <t xml:space="preserve">ที่อยู่ 2 หมู่ที่ 2 ต.บ้านธาตุ อ.เพ็ญ จ.อุดรธานี </t>
    </r>
  </si>
  <si>
    <t>65/2565</t>
  </si>
  <si>
    <r>
      <t>นางแสงอรุณ ธาตุวิสัย                              เลขประจำตัวประชาชน 3411900452686</t>
    </r>
    <r>
      <rPr>
        <sz val="16"/>
        <color rgb="FFFF0000"/>
        <rFont val="TH SarabunPSK"/>
        <family val="2"/>
      </rPr>
      <t xml:space="preserve">        </t>
    </r>
    <r>
      <rPr>
        <sz val="16"/>
        <color theme="1"/>
        <rFont val="TH SarabunPSK"/>
        <family val="2"/>
      </rPr>
      <t xml:space="preserve">ที่อยู่ 44 หมู่ที่ 3 ต.บ้านธาตุ อ.เพ็ญ จ.อุดรธานี </t>
    </r>
  </si>
  <si>
    <t>จ้างเหมาบริการทำหน้าที่เก็บขยะ หมู่ 1 จำนวน 223 ฉบับๆ ละ 7 บาท      จำนวน 6 เดือน  (1 ต.ค.64-31 มี.ค.65)</t>
  </si>
  <si>
    <t>จ้างเหมาบริการทำหน้าที่เก็บขยะ หมู่ 2 จำนวน 167 ฉบับๆละ 7 บาท       จำนวน 6 เดือน (1 ต.ค.64-31มี.ค.65)</t>
  </si>
  <si>
    <t>จ้างเหมาบริการทำหน้าที่เก็บขยะ หมู่ 3 จำนวน 200 ฉบับๆ ละ 7 บาท        เป็นเงิน 8,400 บาท เก็บค่าน้ำประปา หมู่ที่ 3 จำนวน 259 ฉบับๆละ 7 บาท เป็นเงิน 10,878 จำนวน 6 เดือน         (1 ต.ค.-31มี.ค.65)</t>
  </si>
  <si>
    <r>
      <t>นางอรทัย ถิ่นมะนาว                             เลขประจำตัวประชาชน 3411900458919</t>
    </r>
    <r>
      <rPr>
        <sz val="16"/>
        <color rgb="FFFF0000"/>
        <rFont val="TH SarabunPSK"/>
        <family val="2"/>
      </rPr>
      <t xml:space="preserve">       </t>
    </r>
    <r>
      <rPr>
        <sz val="16"/>
        <color theme="1"/>
        <rFont val="TH SarabunPSK"/>
        <family val="2"/>
      </rPr>
      <t xml:space="preserve">ที่อยู่ 221 หมู่ที่ 4 ต.บ้านธาตุ อ.เพ็ญ จ.อุดรธานี </t>
    </r>
  </si>
  <si>
    <t>จ้างเหมาบริการทำหน้าที่เก็บขยะ หมู่ 4 จำนวน 140 ฉบับๆ ละ 7 บาท         จำนวน 6 เดือน  (1 ต.ค.-31มี.ค.65)</t>
  </si>
  <si>
    <t>66/2565</t>
  </si>
  <si>
    <t>จ้างเหมาบริการทำหน้าที่เก็บขยะ หมู่ 5 จำนวน 147 ฉบับ  เป็นเงิน 6,174 บาท เก็บค่าน้ำประปา หมู่ที่ 5 จำนวน 177 ฉบับ เป็นเงิน 7,434 เก็บค่าน้ำประปา หมู่ 12 จำนวน 153 ฉบับ เป็นเงิน 6,426 บาท ฉบับละ 7 บาท จำนวน 6 เดือน    (1 ต.ค.-31มี.ค.65)</t>
  </si>
  <si>
    <r>
      <t>น.ส.พรรณนิภา ดุมรถ                             เลขประจำตัวประชาชน 3411900476267</t>
    </r>
    <r>
      <rPr>
        <sz val="16"/>
        <color rgb="FFFF0000"/>
        <rFont val="TH SarabunPSK"/>
        <family val="2"/>
      </rPr>
      <t xml:space="preserve">       </t>
    </r>
    <r>
      <rPr>
        <sz val="16"/>
        <color theme="1"/>
        <rFont val="TH SarabunPSK"/>
        <family val="2"/>
      </rPr>
      <t xml:space="preserve">ที่อยู่ 13 หมู่ที่ 5 ต.บ้านธาตุ อ.เพ็ญ จ.อุดรธานี </t>
    </r>
  </si>
  <si>
    <t>67/2565</t>
  </si>
  <si>
    <t>จ้างเหมาบริการทำหน้าที่เก็บขยะ หมู่ 6 จำนวน 105 ฉบับๆ ละ 7 บาท         จำนวน 6 เดือน  (1 ต.ค.-31มี.ค.65)</t>
  </si>
  <si>
    <t>68/2565</t>
  </si>
  <si>
    <t>69/2565</t>
  </si>
  <si>
    <t>จ้างเหมาบริการทำหน้าที่เก็บขยะ หมู่ 8 จำนวน 172 ฉบับ เป็นเงิน 7,224 บาท เก็บค่าน้ำประปา หมู่ที่ 3 จำนวน 128 ฉบับเป็นเงิน 5,376 ฉบับละ 7 บาท จำนวน 6 เดือน (1 ต.ค.-31มี.ค.65)</t>
  </si>
  <si>
    <r>
      <t>นางชุติภา คำมูล                                  เลขประจำตัวประชาชน 3411900697611</t>
    </r>
    <r>
      <rPr>
        <sz val="16"/>
        <color rgb="FFFF0000"/>
        <rFont val="TH SarabunPSK"/>
        <family val="2"/>
      </rPr>
      <t xml:space="preserve">       </t>
    </r>
    <r>
      <rPr>
        <sz val="16"/>
        <color theme="1"/>
        <rFont val="TH SarabunPSK"/>
        <family val="2"/>
      </rPr>
      <t xml:space="preserve">ที่อยู่ 193 หมู่ที่ 8 ต.บ้านธาตุ อ.เพ็ญ จ.อุดรธานี </t>
    </r>
  </si>
  <si>
    <t>70/2565</t>
  </si>
  <si>
    <r>
      <t>นายไพวรรณ์ กาหวาย                             เลขประจำตัวประชาชน 3411900717141</t>
    </r>
    <r>
      <rPr>
        <sz val="16"/>
        <color rgb="FFFF0000"/>
        <rFont val="TH SarabunPSK"/>
        <family val="2"/>
      </rPr>
      <t xml:space="preserve">        </t>
    </r>
    <r>
      <rPr>
        <sz val="16"/>
        <color theme="1"/>
        <rFont val="TH SarabunPSK"/>
        <family val="2"/>
      </rPr>
      <t xml:space="preserve">ที่อยู่ 247 หมู่ที่ 9 ต.บ้านธาตุ อ.เพ็ญ จ.อุดรธานี </t>
    </r>
  </si>
  <si>
    <t>จ้างเหมาบริการทำหน้าที่เก็บขยะ หมู่ 9 จำนวน 159 ฉบับๆละ 7 บาท       จำนวน 6 เดือน (1 ต.ค.64-31มี.ค.65)</t>
  </si>
  <si>
    <t>71/2565</t>
  </si>
  <si>
    <r>
      <t>น.ส.ยุภาวัลย์ ธาตุไพบูลย์                             เลขประจำตัวประชาชน 3411900167124</t>
    </r>
    <r>
      <rPr>
        <sz val="16"/>
        <color rgb="FFFF0000"/>
        <rFont val="TH SarabunPSK"/>
        <family val="2"/>
      </rPr>
      <t xml:space="preserve">        </t>
    </r>
    <r>
      <rPr>
        <sz val="16"/>
        <color theme="1"/>
        <rFont val="TH SarabunPSK"/>
        <family val="2"/>
      </rPr>
      <t xml:space="preserve">ที่อยู่ 16 หมู่ที่ 18 ต.บ้านธาตุ อ.เพ็ญ จ.อุดรธานี </t>
    </r>
  </si>
  <si>
    <t>72/2565</t>
  </si>
  <si>
    <t>จ้างเหมาทำหน้าที่เก็บขยะ หมู่ 10 จำนวน 127 ฉบับ เป็นเงิน 5,334 บาท เก็บค่าน้ำประปา หมู่ที่ 10 จำนวน 111 ฉบับ เป็นเงิน 4,662 ฉบับละ 7 บาท จำนวน 6 เดือน (1 ต.ค.-31มี.ค.65)</t>
  </si>
  <si>
    <t>จ้างเหมาทำหน้าที่เก็บขยะ  หมู่ 11 จำนวน 141 ฉบับ เป็นเงิน 5,922 บาท เก็บค่าน้ำประปา หมู่ที่ 11 จำนวน 236 ฉบับ เป็นเงิน 9,912 ฉบับละ 7 บาท จำนวน 6 เดือน (1 ต.ค.-31มี.ค.65)</t>
  </si>
  <si>
    <r>
      <t>นายนนทกร อุดมเพ็ญ                             เลขประจำตัวประชาชน 3411900580358</t>
    </r>
    <r>
      <rPr>
        <sz val="16"/>
        <color rgb="FFFF0000"/>
        <rFont val="TH SarabunPSK"/>
        <family val="2"/>
      </rPr>
      <t xml:space="preserve">        </t>
    </r>
    <r>
      <rPr>
        <sz val="16"/>
        <color theme="1"/>
        <rFont val="TH SarabunPSK"/>
        <family val="2"/>
      </rPr>
      <t xml:space="preserve">ที่อยู่ 115 หมู่ที่ 11 ต.บ้านธาตุ อ.เพ็ญ จ.อุดรธานี </t>
    </r>
  </si>
  <si>
    <t>73/2565</t>
  </si>
  <si>
    <r>
      <t>น.ส.บังอร ชูรัตน์                                   เลขประจำตัวประชาชน 3411900573335</t>
    </r>
    <r>
      <rPr>
        <sz val="16"/>
        <color rgb="FFFF0000"/>
        <rFont val="TH SarabunPSK"/>
        <family val="2"/>
      </rPr>
      <t xml:space="preserve">       </t>
    </r>
    <r>
      <rPr>
        <sz val="16"/>
        <color theme="1"/>
        <rFont val="TH SarabunPSK"/>
        <family val="2"/>
      </rPr>
      <t xml:space="preserve">ที่อยู่ 52 หมู่ที่ 12 ต.บ้านธาตุ อ.เพ็ญ จ.อุดรธานี </t>
    </r>
  </si>
  <si>
    <t>จ้างเหมาบริการทำหน้าที่เก็บขยะ หมู่ 12 จำนวน 118 ฉบับๆ ละ 7 บาท         จำนวน 6 เดือน  (1 ต.ค.-31มี.ค.65)</t>
  </si>
  <si>
    <t>74/2565</t>
  </si>
  <si>
    <r>
      <t>นายเสกสิทธิ์ ทองจันทร์                               เลขประจำตัวประชาชน 3411900582415</t>
    </r>
    <r>
      <rPr>
        <sz val="16"/>
        <color rgb="FFFF0000"/>
        <rFont val="TH SarabunPSK"/>
        <family val="2"/>
      </rPr>
      <t xml:space="preserve">       </t>
    </r>
    <r>
      <rPr>
        <sz val="16"/>
        <color theme="1"/>
        <rFont val="TH SarabunPSK"/>
        <family val="2"/>
      </rPr>
      <t xml:space="preserve">ที่อยู่ 40 หมู่ที่ 13 ต.บ้านธาตุ อ.เพ็ญ จ.อุดรธานี </t>
    </r>
  </si>
  <si>
    <t>จ้างเหมาทำหน้าที่เก็บขยะ หมู่ 13   จำนวน 118 ฉบับๆ ละ 7 บาท         จำนวน 6 เดือน  (1 ต.ค.-31มี.ค.65)</t>
  </si>
  <si>
    <t>75/2565</t>
  </si>
  <si>
    <r>
      <t>นางอนงค์ พลศรี                                  เลขประจำตัวประชาชน 3411900463611</t>
    </r>
    <r>
      <rPr>
        <sz val="16"/>
        <color rgb="FFFF0000"/>
        <rFont val="TH SarabunPSK"/>
        <family val="2"/>
      </rPr>
      <t xml:space="preserve">       </t>
    </r>
    <r>
      <rPr>
        <sz val="16"/>
        <color theme="1"/>
        <rFont val="TH SarabunPSK"/>
        <family val="2"/>
      </rPr>
      <t xml:space="preserve">ที่อยู่ 1 หมู่ที่ 14 ต.บ้านธาตุ อ.เพ็ญ จ.อุดรธานี </t>
    </r>
  </si>
  <si>
    <t>จ้างเหมาทำหน้าที่เก็บขยะ หมู่ 14  จำนวน 113 ฉบับๆ ละ 7 บาท         จำนวน 6 เดือน  (1 ต.ค.-31มี.ค.65)</t>
  </si>
  <si>
    <t>76/2565</t>
  </si>
  <si>
    <r>
      <t>น.ส.สรวย อ่อนทุ่งใหญ่                            เลขประจำตัวประชาชน 3411900467683</t>
    </r>
    <r>
      <rPr>
        <sz val="16"/>
        <color rgb="FFFF0000"/>
        <rFont val="TH SarabunPSK"/>
        <family val="2"/>
      </rPr>
      <t xml:space="preserve">       </t>
    </r>
    <r>
      <rPr>
        <sz val="16"/>
        <color theme="1"/>
        <rFont val="TH SarabunPSK"/>
        <family val="2"/>
      </rPr>
      <t xml:space="preserve">ที่อยู่ 13 หมู่ที่ 15 ต.บ้านธาตุ อ.เพ็ญ จ.อุดรธานี </t>
    </r>
  </si>
  <si>
    <t>จ้างเหมาทำหน้าที่เก็บขยะ หมู่ 15  จำนวน 62 ฉบับๆ ละ 7 บาท         จำนวน 6 เดือน  (1 ต.ค.-31มี.ค.65)</t>
  </si>
  <si>
    <t>77/2565</t>
  </si>
  <si>
    <r>
      <t>นางมะลิวรรณ ผมไผ                              เลขประจำตัวประชาชน 3411900169313</t>
    </r>
    <r>
      <rPr>
        <sz val="16"/>
        <color rgb="FFFF0000"/>
        <rFont val="TH SarabunPSK"/>
        <family val="2"/>
      </rPr>
      <t xml:space="preserve">       </t>
    </r>
    <r>
      <rPr>
        <sz val="16"/>
        <color theme="1"/>
        <rFont val="TH SarabunPSK"/>
        <family val="2"/>
      </rPr>
      <t xml:space="preserve">ที่อยู่ 23 หมู่ที่ 17 ต.บ้านธาตุ อ.เพ็ญ จ.อุดรธานี </t>
    </r>
  </si>
  <si>
    <t>จ้างเหมาทำหน้าที่เก็บขยะ หมู่ 17  จำนวน 143 ฉบับๆ ละ 7 บาท         จำนวน 6 เดือน  (1 ต.ค.-31มี.ค.65)</t>
  </si>
  <si>
    <t>78/2565</t>
  </si>
  <si>
    <r>
      <t xml:space="preserve">นางสังวาลย์ รักษาวงศ์                              เลขประจำตัวประชาชน 3311000352082 </t>
    </r>
    <r>
      <rPr>
        <sz val="16"/>
        <color rgb="FFFF0000"/>
        <rFont val="TH SarabunPSK"/>
        <family val="2"/>
      </rPr>
      <t xml:space="preserve">      </t>
    </r>
    <r>
      <rPr>
        <sz val="16"/>
        <color theme="1"/>
        <rFont val="TH SarabunPSK"/>
        <family val="2"/>
      </rPr>
      <t xml:space="preserve">ที่อยู่ 283 หมู่ที่ 18 ต.บ้านธาตุ อ.เพ็ญ จ.อุดรธานี </t>
    </r>
  </si>
  <si>
    <t>จ้างเหมาทำหน้าที่เก็บขยะ หมู่ 18  จำนวน 159 ฉบับๆ ละ 7 บาท         จำนวน 6 เดือน  (1 ต.ค.-31มี.ค.65)</t>
  </si>
  <si>
    <t>79/2565</t>
  </si>
  <si>
    <r>
      <t xml:space="preserve">นางวงจันทร์ มืดโพธิ์                              เลขประจำตัวประชาชน 331100702089   </t>
    </r>
    <r>
      <rPr>
        <sz val="16"/>
        <color rgb="FFFF0000"/>
        <rFont val="TH SarabunPSK"/>
        <family val="2"/>
      </rPr>
      <t xml:space="preserve">      </t>
    </r>
    <r>
      <rPr>
        <sz val="16"/>
        <color theme="1"/>
        <rFont val="TH SarabunPSK"/>
        <family val="2"/>
      </rPr>
      <t xml:space="preserve">ที่อยู่ 262 หมู่ที่ 19 ต.บ้านธาตุ อ.เพ็ญ จ.อุดรธานี </t>
    </r>
  </si>
  <si>
    <t>จ้างเหมาทำหน้าที่เก็บขยะ หมู่ 19  จำนวน 102 ฉบับๆ ละ 7 บาท         จำนวน 6 เดือน  (1 ต.ค.-31มี.ค.65)</t>
  </si>
  <si>
    <t>80/2565</t>
  </si>
  <si>
    <r>
      <t xml:space="preserve">นางคำปุ่น ดวงขวาง                              เลขประจำตัวประชาชน 3411900175917   </t>
    </r>
    <r>
      <rPr>
        <sz val="16"/>
        <color rgb="FFFF0000"/>
        <rFont val="TH SarabunPSK"/>
        <family val="2"/>
      </rPr>
      <t xml:space="preserve">      </t>
    </r>
    <r>
      <rPr>
        <sz val="16"/>
        <color theme="1"/>
        <rFont val="TH SarabunPSK"/>
        <family val="2"/>
      </rPr>
      <t xml:space="preserve">ที่อยู่ 214 หมู่ที่ 1 ต.บ้านธาตุ อ.เพ็ญ จ.อุดรธานี </t>
    </r>
  </si>
  <si>
    <t>จ้างเหมาทำหน้าที่เก็บขยะ หมู่ 1   จำนวน 229 ฉบับๆ ละ 7 บาท         จำนวน 6 เดือน  (1 ต.ค.-31มี.ค.65)</t>
  </si>
  <si>
    <t>81/2565</t>
  </si>
  <si>
    <t>จ้างเหมาทำหน้าที่เก็บขยะ หมู่ 20 จำนวน 129 ฉบับ เป็นเงิน 5,418 บาท เก็บค่าน้ำประปา หมู่ที่ 20 จำนวน 113 ฉบับ เป็นเงิน 4,746 ฉบับละ 7 บาท จำนวน 6 เดือน (1 ต.ค.-31มี.ค.65)</t>
  </si>
  <si>
    <r>
      <t xml:space="preserve">นางสุวิมล อุดมเพ็ญ                               เลขประจำตัวประชาชน 341190015601   </t>
    </r>
    <r>
      <rPr>
        <sz val="16"/>
        <color rgb="FFFF0000"/>
        <rFont val="TH SarabunPSK"/>
        <family val="2"/>
      </rPr>
      <t xml:space="preserve">      </t>
    </r>
    <r>
      <rPr>
        <sz val="16"/>
        <color theme="1"/>
        <rFont val="TH SarabunPSK"/>
        <family val="2"/>
      </rPr>
      <t xml:space="preserve">ที่อยู่ 44 หมู่ที่ 20 ต.บ้านธาตุ อ.เพ็ญ จ.อุดรธานี </t>
    </r>
  </si>
  <si>
    <t>82/2565</t>
  </si>
  <si>
    <r>
      <t xml:space="preserve">นางบุญหนา เหมุทัย                               เลขประจำตัวประชาชน 3411900458145   </t>
    </r>
    <r>
      <rPr>
        <sz val="16"/>
        <color rgb="FFFF0000"/>
        <rFont val="TH SarabunPSK"/>
        <family val="2"/>
      </rPr>
      <t xml:space="preserve">      </t>
    </r>
    <r>
      <rPr>
        <sz val="16"/>
        <color theme="1"/>
        <rFont val="TH SarabunPSK"/>
        <family val="2"/>
      </rPr>
      <t xml:space="preserve">ที่อยู่ 106 หมู่ที่ 4 ต.บ้านธาตุ อ.เพ็ญ จ.อุดรธานี </t>
    </r>
  </si>
  <si>
    <t>จ้างเหมาทำหน้าที่เก็บค่าน้ำประปา หมู่ที่4 จำนวน 254 ฉบับ เป็นเงิน 10,668 ฉบับละ 7 บาท จำนวน 6 เดือน (1 ต.ค.-31มี.ค.65)</t>
  </si>
  <si>
    <t>83/2565</t>
  </si>
  <si>
    <t>จ้างเหมาทำหน้าที่เก็บค่าน้ำประปา หมู่ที่9 (บ.ยามกาน้อย) จำนวน 202 ฉบับ เป็นเงิน 8,484 ฉบับละ 7 บาท จำนวน 6 เดือน (1 ต.ค.-31มี.ค.65)</t>
  </si>
  <si>
    <r>
      <t xml:space="preserve">นางละมัย เพ็งจันทร์ทา                              เลขประจำตัวประชาชน 3411900708257  </t>
    </r>
    <r>
      <rPr>
        <sz val="16"/>
        <color rgb="FFFF0000"/>
        <rFont val="TH SarabunPSK"/>
        <family val="2"/>
      </rPr>
      <t xml:space="preserve">      </t>
    </r>
    <r>
      <rPr>
        <sz val="16"/>
        <color theme="1"/>
        <rFont val="TH SarabunPSK"/>
        <family val="2"/>
      </rPr>
      <t xml:space="preserve">ที่อยู่ 285 หมู่ที่ 9 ต.บ้านธาตุ อ.เพ็ญ จ.อุดรธานี </t>
    </r>
  </si>
  <si>
    <t>84/2565</t>
  </si>
  <si>
    <t>85/2565</t>
  </si>
  <si>
    <r>
      <t xml:space="preserve">นางพูลผล ธาตุทอง                               เลขประจำตัวประชาชน 3411900464269 </t>
    </r>
    <r>
      <rPr>
        <sz val="16"/>
        <color rgb="FFFF0000"/>
        <rFont val="TH SarabunPSK"/>
        <family val="2"/>
      </rPr>
      <t xml:space="preserve">      </t>
    </r>
    <r>
      <rPr>
        <sz val="16"/>
        <color theme="1"/>
        <rFont val="TH SarabunPSK"/>
        <family val="2"/>
      </rPr>
      <t xml:space="preserve">ที่อยู่ 8 หมู่ที่ 14 ต.บ้านธาตุ อ.เพ็ญ จ.อุดรธานี </t>
    </r>
  </si>
  <si>
    <r>
      <t xml:space="preserve">นางดวงจันทร์ ผ่องแผ่ว                               เลขประจำตัวประชาชน 3411900162424  </t>
    </r>
    <r>
      <rPr>
        <sz val="16"/>
        <color rgb="FFFF0000"/>
        <rFont val="TH SarabunPSK"/>
        <family val="2"/>
      </rPr>
      <t xml:space="preserve">     </t>
    </r>
    <r>
      <rPr>
        <sz val="16"/>
        <color theme="1"/>
        <rFont val="TH SarabunPSK"/>
        <family val="2"/>
      </rPr>
      <t xml:space="preserve">ที่อยู่ 167 หมู่ที่ 18 ต.บ้านธาตุ อ.เพ็ญ จ.อุดรธานี </t>
    </r>
  </si>
  <si>
    <t>86/2565</t>
  </si>
  <si>
    <t>87/2565</t>
  </si>
  <si>
    <r>
      <t xml:space="preserve">นางพรทิพย์ รามฤทธิ์                               เลขประจำตัวประชาชน 3411900176239  </t>
    </r>
    <r>
      <rPr>
        <sz val="16"/>
        <color rgb="FFFF0000"/>
        <rFont val="TH SarabunPSK"/>
        <family val="2"/>
      </rPr>
      <t xml:space="preserve">     </t>
    </r>
    <r>
      <rPr>
        <sz val="16"/>
        <color theme="1"/>
        <rFont val="TH SarabunPSK"/>
        <family val="2"/>
      </rPr>
      <t xml:space="preserve">ที่อยู่ 103 หมู่ที่ 2 ต.บ้านธาตุ อ.เพ็ญ จ.อุดรธานี </t>
    </r>
  </si>
  <si>
    <t>จ้างเหมาทำหน้าที่เก็บค่าน้ำประปา     หมู่ 18 จำนวน 170 ฉบับ เป็นเงิน 7,140 บาท ฉบับละ 7 บาท จำนวน 6 เดือน (1 ต.ค.-31มี.ค.65)</t>
  </si>
  <si>
    <t>จ้างเหมาทำหน้าที่เก็บค่าน้ำประปา     หมู่14จำนวน 163 ฉบับ เป็นเงิน 3,318 บาทฉบับละ 7 บาท จำนวน 6 เดือน    (1 ต.ค.-31มี.ค.65)</t>
  </si>
  <si>
    <t>จ้างเหมาทำหน้าที่เก็บค่าน้ำประปา     หมู่ 2 จำนวน 200 ฉบับ เป็นเงิน 8,400 บาท ฉบับละ 7 บาท จำนวน 6 เดือน (1 ต.ค.-31มี.ค.65)</t>
  </si>
  <si>
    <t>จ้างเหมาทำหน้าที่เก็บค่าน้ำประปา     หมู่ 9 (บ.โนนศรีทอง) จำนวน 79 ฉบับ เป็นเงิน 3,318 ฉบับละ 7 บาท จำนวน 6 เดือน (1 ต.ค.-31มี.ค.65)</t>
  </si>
  <si>
    <t>64117402632 641114321532</t>
  </si>
  <si>
    <t>จัดจ้างทำป้ายตามโครงการฝึกอบรมเชิงปฏิบัติการ หลักสูตร "การบันทึกบัญชีระบบคอมพิวเตอร์ตามมาตรฐานบัญชีภาครัฐ และนโยบายการบัญชีภาครัฐ และการบันทึกบัญชีหน่วยงานภายใต้สังกัด ของ ทต.บ้านธาตุ ประจำปีงบประมาณ พ.ศ.2565" ขนาด 1.2x3 เมตรๆละ 100 บาท จำนวน 1 ป้าย</t>
  </si>
  <si>
    <t xml:space="preserve"> ร้าน@ป้าย โดย นายพรหมพันธ์ พรหมปู่        307 หมู่ที่ 11 ต.เพ็ญ อ.เพ็ญ จ.อุดรธานี            เลขประจำตัวประชาชน 3411900655005</t>
  </si>
  <si>
    <t>ไม่มี vat</t>
  </si>
  <si>
    <t>64117389892 641114313349</t>
  </si>
  <si>
    <t xml:space="preserve">พ.ย. 64 จำนวน 22 วัน ธ.ค.64 จำนวน 20 วัน ม.ค.65  จำนวน 20 วัน ก.พ.65 จำนวน 19 วัน มี.ค.65 จำนวน 23 วัน รวม 114 วัน  โรงเรียน 956 คน ศพด. จำนวน 333 คน รวมทั้งสิ้น 1,289 คน </t>
  </si>
  <si>
    <t>ร้านเจริญสิน โดย น.ส.จิราถร แซ่คู           145/25 ถนนประชารักษา ต.หมากแข้ง    อ.เมืองอุดรธานี จ.อุดรธานี                โทร.042-347672, 081-8729996       เลขประจำตัวผู้เสียภาษีอากร เลขที่ 0417114600740</t>
  </si>
  <si>
    <t>หจก.รวมภัณฑ์ วิศวกรรม                    โดย นางสุมาลี ปิ่นวริชย์กุล            969/18 หมู่ 7 ถนนรอบเมือง ต.หมากแข้ง    อ.เมืองอุดรธานี จ.อุดรธานี                โทร.042-247896 เลขประจำตัวผู้เสียภาษีเลขที่ 0413541000577</t>
  </si>
  <si>
    <t>เงินอุดหนุนเฉพาะกิจ ปี 2565</t>
  </si>
  <si>
    <t>หจก.ยูดี เทคโนโลยี แอนด์ ซัพพลาย     โดยนายพูลศักดิ์ อาจชนะ 54/5 ถ.บ้านโนน ต.หมากแข้ง อ.เมือง จ.อุดรธานี  (มี vat)         โทร.042-223436-7                   ทะเบียนนิติบุคคล เลขที่ 0413555001520</t>
  </si>
  <si>
    <t>88/2565</t>
  </si>
  <si>
    <t>89/2565</t>
  </si>
  <si>
    <t>จ้างเหมาบริการคนงานทั่วไปปฏิบัติงานธุรการและการปฎิบัติงานด้านอื่นๆ   เดือนละ 9,000 บาท  จำนวน 3 เดือน (ต.ค. จำนวน 26 วันๆละ 290 บาท เป็นเงิน 7,540 บาท พ.ย.-ธ.ค.64เดือนละ 9,000 บาท เป็นเงิน 18,000 บาท</t>
  </si>
  <si>
    <t>ไม่มีเลขที่คำสั่ง</t>
  </si>
  <si>
    <t>64117456572 641114364330</t>
  </si>
  <si>
    <t>จัดจ้างซ่อมบำรุงครุภัณฑ์ก่อสร้าง จำนวน 2 ราย                           1.เลื่อยโซ่ยนต์ รหัส 068-60-0004    2. เลื่อยโซ่ยนต์ รหัส 068-62-0005</t>
  </si>
  <si>
    <t>ร้านสมจันทร์เกษตรยนต์ และทรัพย์วิทยาบาดาล โดย นายวิทยา เอาหานัด                          59 หมู่ที่ 7 ต.เพ็ญ อ.เพ็ญจ.อุดรธานี โทร.089-576451, 087-2166150                   เลขประจำตัวประชาชน 1411900103723</t>
  </si>
  <si>
    <t>64117463549 641114368539</t>
  </si>
  <si>
    <t>จัดซื้อวัสดุไฟฟ้าและวิทยุ จำนวน 4 รายการ</t>
  </si>
  <si>
    <t>จัดซื้อวัสดุอื่น ตะกร้าเข่งพลาสติก จำนวน 12 ใบๆละ 550 บาท</t>
  </si>
  <si>
    <t>จัดซื้อวัสดุตามโครงการส่งเสริมการเรียนรู้เด็กปฐมวัยท้องถิ่นไทย ผ่านการเล่น สนามเด็กเล่นสร้างปัญญา ศพด.วัดศรีเจริญโพนบก ทต.บ้านธาตุ อ.เพ็ญ จ.อุดรธานี จำนวน 1 โครงการ</t>
  </si>
  <si>
    <t>หจก.พ.พลังการช่าง  โดยนายสุทธิพงษ์ มิ่งคำมี59 หมู่ 10 ต.คำบง อ.บ้านผือ            จ.อุดรธานี   ทะเบียนนิติบุคคลเลขที่ 0393552000019                          จดทะเบียน 21 ม.ค.2552</t>
  </si>
  <si>
    <r>
      <t xml:space="preserve">น.ส.ประภาพร ธาตุไพบูลย์                       เลขประจำตัวประชาชน 3411900166641  </t>
    </r>
    <r>
      <rPr>
        <sz val="16"/>
        <color rgb="FFFF0000"/>
        <rFont val="TH SarabunPSK"/>
        <family val="2"/>
      </rPr>
      <t xml:space="preserve">     </t>
    </r>
    <r>
      <rPr>
        <sz val="16"/>
        <color theme="1"/>
        <rFont val="TH SarabunPSK"/>
        <family val="2"/>
      </rPr>
      <t xml:space="preserve">ที่อยู่ 238 หมู่ที่ 18 ต.บ้านธาตุ อ.เพ็ญ จ.อุดรธานี </t>
    </r>
  </si>
  <si>
    <t>จ้างเหมาจดมาตรน้ำค่าน้ำประปา จำนวน 5 หมู่บ้าน ดังนี้ ม.1 จำนวน 229 ราย ม.10 จำนวน 111 ราย ม.14 จำนวน 163 ราย ม.18 จำนวน 170 ราย ม.20 จำนวน 113 ราย รวม 786 ราย เดือนละ 3,000 บาท จำนวน 6 เดือน (1 ต.ค.-31มี.ค.65)</t>
  </si>
  <si>
    <t xml:space="preserve">จัดซื้อวัสดุวิทยาศาสตร์หรือการแพทย์ จำนวน 3 รายการ 1. หน้ากากอนามัย 20 กล่องๆละ 95 บ. 2.ถุงมือสำหรับการตรวจโรค 20 กล่องๆละ 350 บ. 3.เจลแอลกอฮอล์ 500 ml จำนวน 30 ขวดๆละ 180 บ. </t>
  </si>
  <si>
    <t>เงินรายได้</t>
  </si>
  <si>
    <t>กองคลัง จดมาตร</t>
  </si>
  <si>
    <t>กองคลัง เก็บค่าน้ำ+ขยะ</t>
  </si>
  <si>
    <t xml:space="preserve"> - พนง.ปฎิบัติงาน สธ.</t>
  </si>
  <si>
    <t xml:space="preserve"> - พนง.ธุรการ+สปสช.</t>
  </si>
  <si>
    <t>ลาออก 31 ต.ค.64</t>
  </si>
  <si>
    <t>ประจำเดือน  พฤศจิกายน 2564 (รวม  8  รายการ)</t>
  </si>
  <si>
    <t xml:space="preserve">งวดที่ 1-2 ส่ง 29 ต.ค.64, </t>
  </si>
  <si>
    <t xml:space="preserve">งวดที่ 1-2 ตรวจ 29 ต.ค.64, </t>
  </si>
  <si>
    <t>ร้าน ช.พาณิชย์                                โดย นายชาญวิทย์ เลิศพลสถิต          732/45 หมู่ 7 ถนน อุดร-เชียงยืน          ต.บ้านเลื่อม   อ.เมืองอุดรธานี จ.อุดรธานี     โทร.092-2820295 เลขประจำตัวผู้เสียภาษี3409800058967 (ไม่มี vat)</t>
  </si>
  <si>
    <t>หจก.ตรีลักษณ์ ซิงห์ คอนสตรัคชั่น         โดยนางนงลักษณ์ ไพรสนฑ์                  522 หมู่บ้านชุมบ้านเหล่าสูง  หมู่ 8 ต.เพ็ญ อ.เพ็ญ จ.อุดรธานี   ทะเบียนนิติบุคคลเลขที่ 0413564003785                          จดทะเบียน 25 ม.ค.2552 (มี vat)</t>
  </si>
  <si>
    <t>64127325035 641214263847</t>
  </si>
  <si>
    <t>จัดซื้อวัสดุเครื่องแต่งกาย จำนวน 5 รายการ      1. ถุงมือยางสำหรับเก็บขยะ 5 โหลๆละ 668 บ. 2.รองเท้าบูท เบอร์9 จำนวน 5 คู่ๆละ 180 บ. 3.รองเท้าบูท เบอร์10 จำนวน 15 คู่ๆละ 180บ.4.รองเท้าบูท เบอร์11 จำนวน 15 คู่ๆ ละ 180 บ. 5.ถุงมือผ้า 3 โหลๆ ละ 120 บ.</t>
  </si>
  <si>
    <t>ร้าน ส.เจริญชัยแอร์                           โดยนายสมพงษ์ ดำเวียงคำ               399/7  หมู่ที่ 17 ต.หนองบัว อ.เมืองอุดรธานี จ.อุดรธานี โทร.084-9138355, 042-241141  เลขประจำตัวผู้เสียภาษีอากร เลขที่ 3410101756853 (ไม่มีvat)</t>
  </si>
  <si>
    <t>64127436007 641214357445</t>
  </si>
  <si>
    <t xml:space="preserve">จัดซื้อวัสดุสำนักงาน จำนวน 20 รายการ    </t>
  </si>
  <si>
    <t>บริษัท นิวง่วนแสงไทย 2003 จำกัด         โดย นางอรพรรณ วณิชวรนันท์)           เลขที่ 88/8 หมู่ 6 ซอยบ้านเดื่อ ถนนบ้านเหล่า-สามพร้าว ตำบลหมากแข้ง อำเภอเมือง จังหวัดอุดรธานี 41000 โทร.042-224544-5 โทรสาร 042-224544 เลขประจำตัวผู้เสียภาษี 0415546000968</t>
  </si>
  <si>
    <t>64107249813 641014189635</t>
  </si>
  <si>
    <t xml:space="preserve">จ้างซ่อมแซมครุภัณฑ์ยานพาหนะและขนส่ง รถยนต์ส่วนกลาง               ทะเบียน บว 5500                    รหัสครุภัณฑ์ 001-52-0004             </t>
  </si>
  <si>
    <t>อู่สัมพันธ์การช่าง โดย นางอรนุช สุขปาน            เลขประจำตัวผู้เสียภาษี 5419900001572        ที่อยู่ 45/1 หมู่ที่ 8 ต.เพ็ญ อ.เพ็ญ จ.อุดรธานี โทร.092-9579734</t>
  </si>
  <si>
    <t>ประจำเดือน  ตุลาคม 2564 (รวม  3 รายการ)</t>
  </si>
  <si>
    <t>ประจำเดือน  ธันวาคม 2564 (รวม  2  รายการ)</t>
  </si>
  <si>
    <t>90/2565</t>
  </si>
  <si>
    <t>30 ธ.ค 64</t>
  </si>
  <si>
    <t>91/2565</t>
  </si>
  <si>
    <t>จ้างเหมาพนักงานขับรถกู้ชีพฉุกเฉิน จำนวน 3 เดือนๆ (1 ม.ค.- 31 มี.ค. 65) วันละ 315 บาท</t>
  </si>
  <si>
    <t>92/2565</t>
  </si>
  <si>
    <r>
      <t>นายวิเชียร แก้วเวียง                               เลขประจำตัวประชาชน 5411900019610</t>
    </r>
    <r>
      <rPr>
        <sz val="16"/>
        <color rgb="FFFF0000"/>
        <rFont val="TH SarabunPSK"/>
        <family val="2"/>
      </rPr>
      <t xml:space="preserve">        </t>
    </r>
    <r>
      <rPr>
        <sz val="16"/>
        <color theme="1"/>
        <rFont val="TH SarabunPSK"/>
        <family val="2"/>
      </rPr>
      <t xml:space="preserve">ที่อยู่ 118 หมู่ที่ 8 ต.บ้านธาตุ อ.เพ็ญ จ.อุดรธานี </t>
    </r>
  </si>
  <si>
    <r>
      <t>นายศักดิ์ชาย สีมืด                               เลขประจำตัวประชาชน 3411900152801</t>
    </r>
    <r>
      <rPr>
        <sz val="16"/>
        <color rgb="FFFF0000"/>
        <rFont val="TH SarabunPSK"/>
        <family val="2"/>
      </rPr>
      <t xml:space="preserve">        </t>
    </r>
    <r>
      <rPr>
        <sz val="16"/>
        <color theme="1"/>
        <rFont val="TH SarabunPSK"/>
        <family val="2"/>
      </rPr>
      <t xml:space="preserve">ที่อยู่ 313 หมู่ที่ 1 ต.บ้านธาตุ อ.เพ็ญ จ.อุดรธานี  </t>
    </r>
  </si>
  <si>
    <t>98/2565</t>
  </si>
  <si>
    <t>จ้างเหมาพนักงานขับรถยนต์กู้ชีพฉุกเฉิน จำนวน 3 เดือนๆ (1 ม.ค.- 31 มี.ค. 65) วันละ 315 บาท</t>
  </si>
  <si>
    <t>จ้างเหมาบริการทำหน้าที่ผู้ปฏิบัติหน้าที่วิทยุสื่อสาร จำนวน 3 เดือน วันละ 315 บาท (1 ม.ค.- 31 มี.ค. 65)</t>
  </si>
  <si>
    <t>94/2565</t>
  </si>
  <si>
    <r>
      <t>น.ส.พัชรี กองคำ                                 เลขประจำตัวประชาชน 1439900160597</t>
    </r>
    <r>
      <rPr>
        <sz val="16"/>
        <color rgb="FFFF0000"/>
        <rFont val="TH SarabunPSK"/>
        <family val="2"/>
      </rPr>
      <t xml:space="preserve">       </t>
    </r>
    <r>
      <rPr>
        <sz val="16"/>
        <color theme="1"/>
        <rFont val="TH SarabunPSK"/>
        <family val="2"/>
      </rPr>
      <t xml:space="preserve">ที่อยู่ 100 หมู่ที่ 4 ต.บ้านธาตุ อ.เพ็ญ จ.อุดรธานี  </t>
    </r>
  </si>
  <si>
    <t>95/2565</t>
  </si>
  <si>
    <r>
      <t>น.ส.สุนิสา อรสูญ                                  เลขประจำตัวประชาชน 1419900644560</t>
    </r>
    <r>
      <rPr>
        <sz val="16"/>
        <color rgb="FFFF0000"/>
        <rFont val="TH SarabunPSK"/>
        <family val="2"/>
      </rPr>
      <t xml:space="preserve">        </t>
    </r>
    <r>
      <rPr>
        <sz val="16"/>
        <color theme="1"/>
        <rFont val="TH SarabunPSK"/>
        <family val="2"/>
      </rPr>
      <t xml:space="preserve">ที่อยู่ 78 หมู่ที่ 14 ต.บ้านธาตุ อ.เพ็ญ จ.อุดรธานี </t>
    </r>
  </si>
  <si>
    <t>96/2565</t>
  </si>
  <si>
    <t>97/2565</t>
  </si>
  <si>
    <r>
      <t>นายอาวุธ คุณวงษ์                               เลขประจำตัวประชาชน 3411900167655</t>
    </r>
    <r>
      <rPr>
        <sz val="16"/>
        <color rgb="FFFF0000"/>
        <rFont val="TH SarabunPSK"/>
        <family val="2"/>
      </rPr>
      <t xml:space="preserve">        </t>
    </r>
    <r>
      <rPr>
        <sz val="16"/>
        <color theme="1"/>
        <rFont val="TH SarabunPSK"/>
        <family val="2"/>
      </rPr>
      <t xml:space="preserve">ที่อยู่ 281 หมู่ที่ 18 ต.บ้านธาตุ อ.เพ็ญ จ.อุดรธานี </t>
    </r>
  </si>
  <si>
    <t>99/2565</t>
  </si>
  <si>
    <t>100/2565</t>
  </si>
  <si>
    <t>จ้างเหมาบริการทำหน้าที่ผู้ปฏิบัติหน้าที่ด้านการแพทย์ฉุกเฉินเทศบาลตำบล  บ้านธาตุ จำนวน 3 เดือน วันละ 315 บาท    (1 ม.ค.- 31 มี.ค. 65)</t>
  </si>
  <si>
    <t>101/2565</t>
  </si>
  <si>
    <t>จ้างเหมาพนักงานขับรถบรรทุกขยะ จำนวน 3 เดือนๆ ละ 9,000 บาท       (1 ม.ค.- 31 มี.ค. 65)</t>
  </si>
  <si>
    <t>(1ต.ค.64-31มี.ค.64) 6 เดือน</t>
  </si>
  <si>
    <t xml:space="preserve">นายคำมูล ดีสุ่ย                                   เลขประจำตัวประชาชน 3410500383775        ที่อยู่ 38 หมู่ที่ 15 ต.บ้านธาตุ อ.เพ็ญ จ.อุดรธานี </t>
  </si>
  <si>
    <t xml:space="preserve">นายธงชัย มูลละ                                   เลขประจำตัวประชาชน 3411300883261        ที่อยู่ 105 หมู่ที่ 8 ต.บ้านธาตุ อ.เพ็ญ จ.อุดรธานี </t>
  </si>
  <si>
    <r>
      <t>นายอินทร์ ซูประโค                                เลขประจำตัวประชาชน 3310700589262</t>
    </r>
    <r>
      <rPr>
        <sz val="16"/>
        <color rgb="FFFF0000"/>
        <rFont val="TH SarabunPSK"/>
        <family val="2"/>
      </rPr>
      <t xml:space="preserve">       </t>
    </r>
    <r>
      <rPr>
        <sz val="16"/>
        <color theme="1"/>
        <rFont val="TH SarabunPSK"/>
        <family val="2"/>
      </rPr>
      <t xml:space="preserve">ที่อยู่ 234 หมู่ที่ 16 ต.บ้านธาตุ อ.เพ็ญ จ.อุดรธานี </t>
    </r>
  </si>
  <si>
    <r>
      <t>น.ส.กมลลิกา หัสดี                                  เลขประจำตัวประชาชน 1411900136265</t>
    </r>
    <r>
      <rPr>
        <sz val="16"/>
        <color rgb="FFFF0000"/>
        <rFont val="TH SarabunPSK"/>
        <family val="2"/>
      </rPr>
      <t xml:space="preserve">       </t>
    </r>
    <r>
      <rPr>
        <sz val="16"/>
        <color theme="1"/>
        <rFont val="TH SarabunPSK"/>
        <family val="2"/>
      </rPr>
      <t xml:space="preserve">ที่อยู่ 23/1 หมู่ที่ 10 ต.บ้านธาตุ อ.เพ็ญ จ.อุดรธานี </t>
    </r>
  </si>
  <si>
    <r>
      <t>น.ส.สุนิสา อรสูญ                                 เลขประจำตัวประชาชน 1419900644560</t>
    </r>
    <r>
      <rPr>
        <sz val="16"/>
        <color rgb="FFFF0000"/>
        <rFont val="TH SarabunPSK"/>
        <family val="2"/>
      </rPr>
      <t xml:space="preserve">        </t>
    </r>
    <r>
      <rPr>
        <sz val="16"/>
        <color theme="1"/>
        <rFont val="TH SarabunPSK"/>
        <family val="2"/>
      </rPr>
      <t xml:space="preserve">ที่อยู่ 78 หมู่ที่ 14 ต.บ้านธาตุ อ.เพ็ญ จ.อุดรธานี </t>
    </r>
  </si>
  <si>
    <r>
      <t>น.ส.นิศา หมื่นวงษ์                               เลขประจำตัวประชาชน 3411900832659</t>
    </r>
    <r>
      <rPr>
        <sz val="16"/>
        <color rgb="FFFF0000"/>
        <rFont val="TH SarabunPSK"/>
        <family val="2"/>
      </rPr>
      <t xml:space="preserve">        </t>
    </r>
    <r>
      <rPr>
        <sz val="16"/>
        <color theme="1"/>
        <rFont val="TH SarabunPSK"/>
        <family val="2"/>
      </rPr>
      <t xml:space="preserve">ที่อยู่ 192 หมู่ที่ 10 ต.บ้านธาตุ อ.เพ็ญ จ.อุดรธานี </t>
    </r>
  </si>
  <si>
    <t>จ้างเหมาบริการบันทึกข้อมูลและช่วยปฏิบัติงานด้านกองทุนสุขภาพเทศบาลตำบลบ้านธาตุ จำนวน 3 เดือนๆ ละ 9,000 บาท (1ต.ค.-31 ธ.ค.64)</t>
  </si>
  <si>
    <r>
      <t>น.ส.เดือนเพ็ญ สุระวิชัย                               เลขประจำตัวประชาชน 1411900165508</t>
    </r>
    <r>
      <rPr>
        <sz val="16"/>
        <color rgb="FFFF0000"/>
        <rFont val="TH SarabunPSK"/>
        <family val="2"/>
      </rPr>
      <t xml:space="preserve">        </t>
    </r>
    <r>
      <rPr>
        <sz val="16"/>
        <color theme="1"/>
        <rFont val="TH SarabunPSK"/>
        <family val="2"/>
      </rPr>
      <t xml:space="preserve">ที่อยู่ 97 หมู่ที่ 4ต.บ้านธาตุ อ.เพ็ญ จ.อุดรธานี </t>
    </r>
  </si>
  <si>
    <r>
      <t xml:space="preserve">นายจันที                                          เลขประจำตัวประชาชน                         </t>
    </r>
    <r>
      <rPr>
        <sz val="16"/>
        <color rgb="FFFF0000"/>
        <rFont val="TH SarabunPSK"/>
        <family val="2"/>
      </rPr>
      <t xml:space="preserve">    </t>
    </r>
    <r>
      <rPr>
        <sz val="16"/>
        <color theme="1"/>
        <rFont val="TH SarabunPSK"/>
        <family val="2"/>
      </rPr>
      <t xml:space="preserve">ที่อยู่ 192 หมู่ที่ 10 ต.บ้านธาตุ อ.เพ็ญ จ.อุดรธานี </t>
    </r>
  </si>
  <si>
    <r>
      <t>นายประเวช ศรีทำบุญ                               เลขประจำตัวประชาชน 3411300876949</t>
    </r>
    <r>
      <rPr>
        <sz val="16"/>
        <color rgb="FFFF0000"/>
        <rFont val="TH SarabunPSK"/>
        <family val="2"/>
      </rPr>
      <t xml:space="preserve">        </t>
    </r>
    <r>
      <rPr>
        <sz val="16"/>
        <color theme="1"/>
        <rFont val="TH SarabunPSK"/>
        <family val="2"/>
      </rPr>
      <t xml:space="preserve">ที่อยู่ 255 หมู่ที่ 8 ต.บ้านธาตุ อ.เพ็ญ จ.อุดรธานี </t>
    </r>
  </si>
  <si>
    <t>จ้างเหมาบริการทำหน้าที่ผู้ปฏิบัติหน้าที่วิทยุสื่อสาร จำนวน 3 เดือนๆ ละ 9,000 บาท   (1 ต.ค.- 31 ธ.ค. 64)</t>
  </si>
  <si>
    <t>102/2565</t>
  </si>
  <si>
    <r>
      <t>นายชาญชัย ธาตุทอง                              เลขประจำตัวประชาชน 3411900697620</t>
    </r>
    <r>
      <rPr>
        <sz val="16"/>
        <color rgb="FFFF0000"/>
        <rFont val="TH SarabunPSK"/>
        <family val="2"/>
      </rPr>
      <t xml:space="preserve">        </t>
    </r>
    <r>
      <rPr>
        <sz val="16"/>
        <color theme="1"/>
        <rFont val="TH SarabunPSK"/>
        <family val="2"/>
      </rPr>
      <t xml:space="preserve">ที่อยู่ 168 หมู่ที่ 18 ต.บ้านธาตุ อ.เพ็ญ จ.อุดรธานี  </t>
    </r>
  </si>
  <si>
    <t>103/2565</t>
  </si>
  <si>
    <t>จ้างเหมาบริการบันทึกข้อมูลและช่วยปฏิบัติงานด้านกองทุนสุขภาพเทศบาลตำบลบ้านธาตุ จำนวน 3 เดือนๆ ละ 9,000 บาท (1ม.ค.-31 มี.ค.65)</t>
  </si>
  <si>
    <t>104/2565</t>
  </si>
  <si>
    <t>จ้างเหมาบริการงานผู้ปฏิบัติหน้าที่ดูแลด้านนิติกร                              จำนวน 3 เดือนๆละ 9,000 บาท         (1 ต.ค. 64 - 31 ธ.ค.64)</t>
  </si>
  <si>
    <t>จ้างเหมาพนักงานขับรถกู้ชีพฉุกเฉิน จำนวน 3 เดือน วันละ 315 บาท         (1 ต.ค.- 31 ธ.ค. 64)</t>
  </si>
  <si>
    <t>จ้างเหมาบริการงานผู้ปฏิบัติหน้าที่ดูแลด้านนิติกร                              จำนวน 6 เดือนๆละ 9,000 บาท          (1ม.ค.-30 มิ.ย.65)</t>
  </si>
  <si>
    <t>105/2565</t>
  </si>
  <si>
    <t>107/2565</t>
  </si>
  <si>
    <t>จ้างเหมาบริการงานผู้ปฏิบัติหน้าที่ดูแลระบบสารสนเทศและการสื่อสาร    บันทึกข้อมูล                           จำนวน 3 เดือนๆละ 9,000 บาท          (1ม.ค.-30 มิ.ย.65)</t>
  </si>
  <si>
    <t xml:space="preserve">จ้างเหมาคนงานประจำรถขยะมูลฝอย จำนวน 3 เดือนๆ ละ 9,000 บาท       (1 ม.ค.- 31 มี.ค. 65) </t>
  </si>
  <si>
    <t xml:space="preserve">นายประไพร เมืองสนธิ์                              เลขประจำตัวประชาชน 5460290001681        ที่อยู่ 231 หมู่ที่ 10 ต.บ้านธาตุ อ.เพ็ญ จ.อุดรธานี </t>
  </si>
  <si>
    <t>108/2565</t>
  </si>
  <si>
    <r>
      <t>นายอุทิตร์ สามา                                   เลขประจำตัวประชาชน</t>
    </r>
    <r>
      <rPr>
        <sz val="16"/>
        <color rgb="FFFF0000"/>
        <rFont val="TH SarabunPSK"/>
        <family val="2"/>
      </rPr>
      <t xml:space="preserve">                      </t>
    </r>
    <r>
      <rPr>
        <sz val="16"/>
        <color theme="1"/>
        <rFont val="TH SarabunPSK"/>
        <family val="2"/>
      </rPr>
      <t xml:space="preserve">       ที่อยู่ 106 หมู่ที่ 7 ต.บ้านธาตุ อ.เพ็ญ จ.อุดรธานี </t>
    </r>
  </si>
  <si>
    <t>109/2565</t>
  </si>
  <si>
    <t>110/2565</t>
  </si>
  <si>
    <t xml:space="preserve">นางสาวจิดาภา แสนอินทร์                         เลขประจำตัวประชาชน 1419900549575       ที่อยู่ 91 หมู่ที่ 21 ต.เชียงหวาง อ.เพ็ญ จ.อุดรธานี </t>
  </si>
  <si>
    <t>111/2565</t>
  </si>
  <si>
    <r>
      <t>นายถาวร สีลารัตน์                                   เลขประจำตัวประชาชน 3451400470286</t>
    </r>
    <r>
      <rPr>
        <sz val="16"/>
        <color rgb="FFFF0000"/>
        <rFont val="TH SarabunPSK"/>
        <family val="2"/>
      </rPr>
      <t xml:space="preserve">       </t>
    </r>
    <r>
      <rPr>
        <sz val="16"/>
        <color theme="1"/>
        <rFont val="TH SarabunPSK"/>
        <family val="2"/>
      </rPr>
      <t xml:space="preserve">ที่อยู่ 1 หมู่ที่ 11 ต.บ้านธาตุ อ.เพ็ญ จ.อุดรธานี </t>
    </r>
  </si>
  <si>
    <t>113/2565</t>
  </si>
  <si>
    <t>112/2565</t>
  </si>
  <si>
    <r>
      <t xml:space="preserve">นายเสกสรรค์ ประจงสาร                         เลขประจำตัวประชาชน </t>
    </r>
    <r>
      <rPr>
        <sz val="16"/>
        <color rgb="FFFF0000"/>
        <rFont val="TH SarabunPSK"/>
        <family val="2"/>
      </rPr>
      <t xml:space="preserve">  </t>
    </r>
    <r>
      <rPr>
        <sz val="16"/>
        <color theme="1"/>
        <rFont val="TH SarabunPSK"/>
        <family val="2"/>
      </rPr>
      <t xml:space="preserve">ที่อยู่ 157 หมู่ที่ 14 ต.บ้านธาตุ อ.เพ็ญ จ.อุดรธานี </t>
    </r>
  </si>
  <si>
    <t>120/2565</t>
  </si>
  <si>
    <t>106/2565</t>
  </si>
  <si>
    <t>จ้างเหมาคนงานทั่วไปปฏิบัติงานใน   ศูนย์พันาเด็กเล็กโรงเรียนบ้านดอนแก้ว จำนวน 3 เดือนๆ ละ 9,000 บาท         (1ม.ค.-31 มี.ค.65)</t>
  </si>
  <si>
    <t>จ้างเหมาคนงานทั่วไปปฏิบัติงานใน   ศูนย์พันาเด็กเล็กบ้านนาพูนทรัพย์ จำนวน 3 เดือนๆละ 9,000 บาท       (1 ม.ค.- 31 มี.ค. 65)</t>
  </si>
  <si>
    <t>115/2565</t>
  </si>
  <si>
    <t>116/2565</t>
  </si>
  <si>
    <t>จ้างเหมาคนงานทั่วไปปฏิบัติงานในศูนย์พันาเด็กเล็ก บ้านนาคอมนาดอกไม้ จำนวน 3 เดือนๆละ 9,000 บาท         (1 ม.ค.- 31 มี.ค. 65)</t>
  </si>
  <si>
    <t>117/2565</t>
  </si>
  <si>
    <t>จ้างเหมาคนงานทั่วไปปฏิบัติงานใน   ศูนย์พันาเด็กเล็กบ้านนาคอมนาดอกไม้ จำนวน 3 เดือนๆละ 9,000 บาท         (1 ม.ค.- 31 มี.ค. 65)</t>
  </si>
  <si>
    <t>จ้างเหมาคนงานทั่วไปปฏิบัติงานใน   ศูนย์พันาเด็กเล็กโรงเรียนหมูม่นโพนสว่าง จำนวน 3 เดือนๆละ 9,000 บาท       (1 ม.ค.- 31 มี.ค. 65)</t>
  </si>
  <si>
    <t xml:space="preserve"> - ประจำรถขยะ</t>
  </si>
  <si>
    <t>118/2565</t>
  </si>
  <si>
    <t>119/2565</t>
  </si>
  <si>
    <t xml:space="preserve"> - ผดด</t>
  </si>
  <si>
    <t xml:space="preserve"> - สนง.</t>
  </si>
  <si>
    <t>จ้างเหมาบริการทำหน้าที่เก็บค่าน้ำประปา หมู่ 9 (โนนสีทอง) จำนวน 79 ฉบับๆละ 7 บาท  จำนวน 3 เดือน     (1 ม.ค.-31มี.ค.65)</t>
  </si>
  <si>
    <t>55/2565</t>
  </si>
  <si>
    <t>93/2565</t>
  </si>
  <si>
    <t>114/2565</t>
  </si>
  <si>
    <t>121/2565</t>
  </si>
  <si>
    <t>122/2565</t>
  </si>
  <si>
    <t>123/2565</t>
  </si>
  <si>
    <t>124/2565</t>
  </si>
  <si>
    <t>จ้างเหมาคนงานขับรถตักหน้าขุดหลัง จำนวน 6 เดือนๆ ละ 9,000 บาท       (1 ม.ค.- 30 มิ.ย. 65)</t>
  </si>
  <si>
    <t>125/2565</t>
  </si>
  <si>
    <t>จ้างเหมาคนงานดูแลระบบน้ำประปา บ้านถิ่น หมู่ที่ 5                       จำนวน 6 เดือนๆ ละ 9,000 บาท       (1 ม.ค.- 30 มิ.ย. 65)</t>
  </si>
  <si>
    <t>126/2565</t>
  </si>
  <si>
    <t>จ้างเหมาคนงานดูแลระบบน้ำประปา บ้านนาพูนทรัพย์ หมู่ที่ 14                จำนวน 6 เดือนๆ ละ 9,000 บาท       (1 ม.ค.- 30 มิ.ย. 65)</t>
  </si>
  <si>
    <t>127/2565</t>
  </si>
  <si>
    <t>จ้างเหมาคนงานดูแลระบบน้ำประปา บ้านโพน หมู่ที่ 4                    จำนวน 6 เดือนๆ ละ 9,000 บาท       (1 ม.ค.- 30 มิ.ย. 65)</t>
  </si>
  <si>
    <t>128/2565</t>
  </si>
  <si>
    <t>จ้างเหมาคนงานตัดหญ้าและดูแลตัดแต่งต้นไม้พร้อมเก็บขน                   จำนวน 6 เดือนๆ ละ 9,000 บาท       (1 ม.ค.- 30 มิ.ย. 65)</t>
  </si>
  <si>
    <t>129/2565</t>
  </si>
  <si>
    <t>จ้างเหมาคนงานเฝ้าสถานีสูบน้ำด้วยไฟฟ้าบ้านดอนแก้ว หมู่ที่ 6               จำนวน 6 เดือนๆ ละ 9,000 บาท       (1 ม.ค.- 30 มิ.ย. 65)</t>
  </si>
  <si>
    <t>130/2565</t>
  </si>
  <si>
    <t>131/2565</t>
  </si>
  <si>
    <t>จ้างเหมาคนงานดูแลระบบไฟฟ้าสาธารณะและระบบประปาภายในบริเวณเขตเทศบาลตำบลบ้านธาตุ              จำนวน 6 เดือนๆ ละ 9,000 บาท       (1 ม.ค.- 30 มิ.ย. 65)</t>
  </si>
  <si>
    <t>132/2565</t>
  </si>
  <si>
    <t>จ้างเหมาคนงานดูแลระบบผลิตน้ำประปา บ้านหมูม่น หมู่ที่ 7           จำนวน 6 เดือนๆ ละ 9,000 บาท       (1 ม.ค.- 30 มิ.ย. 65)</t>
  </si>
  <si>
    <t>133/2565</t>
  </si>
  <si>
    <t>จ้างเหมาคนงานช่วยบันทึกข้อมูล จำนวนจำนวน 6 เดือนๆ ละ 9,000 บาท (1 ม.ค.- 30 มิ.ย. 65)</t>
  </si>
  <si>
    <t>134/2565</t>
  </si>
  <si>
    <t>จ้างเหมาคนงานดูแลระบบน้ำประปา บ้านธาตุ หมู่ที่ 10                     จำนวน 6 เดือนๆ ละ 9,000 บาท       (1 ม.ค.- 30 มิ.ย. 65)</t>
  </si>
  <si>
    <t>จ้างเหมาคนงานดูแลระบบน้ำประปา บ้านนาคอม หมู่ที่ 3                  จำนวน 6 เดือนๆ ละ 9,000 บาท       (1 ม.ค.- 30 มิ.ย. 65)</t>
  </si>
  <si>
    <t xml:space="preserve">นายธนชิต พลศรี                                  เลขประจำตัวประชาชน 1411900272983        ที่อยู่ 2 หมู่ที่ 3 ต.บ้านธาตุ อ.เพ็ญ จ.อุดรธานี </t>
  </si>
  <si>
    <r>
      <t>นายประมวล โพนทุ้ย                                  เลขประจำตัวประชาชน 3411900715873</t>
    </r>
    <r>
      <rPr>
        <sz val="16"/>
        <color rgb="FFFF0000"/>
        <rFont val="TH SarabunPSK"/>
        <family val="2"/>
      </rPr>
      <t xml:space="preserve">       </t>
    </r>
    <r>
      <rPr>
        <sz val="16"/>
        <color theme="1"/>
        <rFont val="TH SarabunPSK"/>
        <family val="2"/>
      </rPr>
      <t xml:space="preserve">ที่อยู่ 176 หมู่ที่ 11 ต.บ้านธาตุ อ.เพ็ญ จ.อุดรธานี </t>
    </r>
  </si>
  <si>
    <t>136/2565</t>
  </si>
  <si>
    <t>จ้างเหมาบริการคนงานดูแลระบบน้ำผลิตน้ำประปาบ้านสังซา หมู่ที่ 8       จำนวน 6 เดือนๆ ละ 9,000 บาท       (1 ม.ค.- 30 มิ.ย. 65)</t>
  </si>
  <si>
    <t>135/2565</t>
  </si>
  <si>
    <t>จ้างเหมาคนงานดูแลระบบน้ำประปา บ้านโนนสมบูรณ์ หมู่ที่ 15                จำนวน 6 เดือนๆ ละ 9,000 บาท       (1 ม.ค.- 30 มิ.ย. 65)</t>
  </si>
  <si>
    <t xml:space="preserve"> - ขับรถตักหน้าขุดหลัง</t>
  </si>
  <si>
    <t xml:space="preserve"> - คนงานตัดหญ้า</t>
  </si>
  <si>
    <t xml:space="preserve"> - ดูแลรักษาสถานีสูบน้ำด้วยไฟฟ้า บ.ดอนแก้ว ม.6</t>
  </si>
  <si>
    <t xml:space="preserve"> - ดูแลระบบผลิตน้ำประปา บ้านถิ่น ม.5</t>
  </si>
  <si>
    <t xml:space="preserve"> - ดูแลระบบผลิตน้ำประปา บ้านนาพูนทรัพย์ ม.14</t>
  </si>
  <si>
    <t xml:space="preserve"> - ดูแลระบบผลิตน้ำประปา บ้านโพน ม.4</t>
  </si>
  <si>
    <t xml:space="preserve"> - ดูแลระบบไฟฟ้าสาธารณะและระบบประปา</t>
  </si>
  <si>
    <t xml:space="preserve"> - ดูแลรักษาสถานีสูบน้ำด้วยไฟฟ้า บ.นาคอม (หัวภูดิน) ม.3</t>
  </si>
  <si>
    <t xml:space="preserve"> - ดูแลระบบผลิตน้ำประปา บ้านโพน ม.7</t>
  </si>
  <si>
    <t xml:space="preserve"> - งานธุรการ</t>
  </si>
  <si>
    <t xml:space="preserve"> - ดูแลระบบผลิตน้ำประปา บ้านโนนสมบูรณ์ ม.15</t>
  </si>
  <si>
    <t xml:space="preserve"> - ดูแลระบบผลิตน้ำประปา บ้านนาคอม ม.3</t>
  </si>
  <si>
    <t xml:space="preserve"> - ดูแลระบบผลิตน้ำประปาผิวดินขนาดใหญ่มาก บ้านธาตุ ม.10</t>
  </si>
  <si>
    <t>ร้าน ช.พาณิขย์                              โดย นายชาญวิทย์ เลิศพลสถิต              732/45  ม. 1 ต.บ้านเลื่อม อ.เมืองอุดรธานี จ.อุดรธานี โทร.092-2820295 เลขประจำตัวผู้เสียภาษีอากร 3409800058967</t>
  </si>
  <si>
    <t>ข้าม</t>
  </si>
  <si>
    <t>ยกเลิก</t>
  </si>
  <si>
    <t>ประจำเดือน  ตุลาคม 2564 (รวม   88 รายการ)</t>
  </si>
  <si>
    <t>6 ต.ค 64</t>
  </si>
  <si>
    <t>จ้างเหมาบริการบันทึกข้อมูลและช่วยปฏิบัติงานด้านสาธารณสุขและสิ่งแวดล้อมจำนวน 3 เดือนๆ ละ 9,000 บาท       (1 ม.ค.- 31 มี.ค. 65)</t>
  </si>
  <si>
    <t>จ้างเหมาบริการบันทึกข้อมูลและช่วยปฏิบัติงานด้านสาธารณสุขแลสิ่งแวดล้อมจำนวน 3 เดือนๆ ละ 9,000 บาท       (1 ม.ค.- 31 มี.ค. 65)</t>
  </si>
  <si>
    <t>จ้างเหมาบริการบันทึกข้อมูลและช่วยปฏิบัติงานด้านสาธารณสุขและสิ่งแวดล้อม จำนวน 3 เดือนๆ ละ 9,000 บาท       (1 ม.ค.- 31 มี.ค. 65)</t>
  </si>
  <si>
    <t xml:space="preserve"> -  จนท.ประจำรถขยะ</t>
  </si>
  <si>
    <r>
      <t>นายจักรพงษ์ เครือจ่าย                            เลขประจำตัวประชาชน 1411900026575</t>
    </r>
    <r>
      <rPr>
        <sz val="16"/>
        <color rgb="FFFF0000"/>
        <rFont val="TH SarabunPSK"/>
        <family val="2"/>
      </rPr>
      <t xml:space="preserve">       </t>
    </r>
    <r>
      <rPr>
        <sz val="16"/>
        <color theme="1"/>
        <rFont val="TH SarabunPSK"/>
        <family val="2"/>
      </rPr>
      <t xml:space="preserve">ที่อยู่ 19 หมู่ที่ 16 ต.บ้านธาตุ อ.เพ็ญ จ.อุดรธานี </t>
    </r>
  </si>
  <si>
    <t xml:space="preserve"> - จนท.วิทยุสื่อสาร</t>
  </si>
  <si>
    <t xml:space="preserve"> - พนง.ประจำรถกู้ชีพ</t>
  </si>
  <si>
    <t xml:space="preserve"> - จ้าง สปสช.</t>
  </si>
  <si>
    <t>ม.ค.-มี.ค.65 (3 เดือน)</t>
  </si>
  <si>
    <t>ม.ค.-มิ.ย.65 (6 เดือน)</t>
  </si>
  <si>
    <t>ต.ค.64-มี.ค.65 (6 เดือน)</t>
  </si>
  <si>
    <t>จ้างเหมาคนงานรวมทั้งสิ้น</t>
  </si>
  <si>
    <t>จ้างเหมาเก็บน้ำ+ขยะ รวม</t>
  </si>
  <si>
    <t>จ้างเหมารวมทั้งสิ้น</t>
  </si>
  <si>
    <t>ประจำเดือน  ธันวาคม  2564 (รวม  47  รายการ)</t>
  </si>
  <si>
    <r>
      <t>นางอุทิศ  โคตรศรี                                 เลขประจำตัวประชาชน 3411900595550</t>
    </r>
    <r>
      <rPr>
        <sz val="16"/>
        <color rgb="FFFF0000"/>
        <rFont val="TH SarabunPSK"/>
        <family val="2"/>
      </rPr>
      <t xml:space="preserve">    </t>
    </r>
    <r>
      <rPr>
        <sz val="16"/>
        <color theme="1"/>
        <rFont val="TH SarabunPSK"/>
        <family val="2"/>
      </rPr>
      <t xml:space="preserve">ที่อยู่ 164 หมู่ที่ 7 ต.บ้านธาตุ อ.เพ็ญ จ.อุดรธานี </t>
    </r>
  </si>
  <si>
    <t>65017162818 650114131052</t>
  </si>
  <si>
    <t xml:space="preserve">จ้างเหมาต่ออายุเว็บไซต์ www.banthat.go.th </t>
  </si>
  <si>
    <t>65017171266 650114136530</t>
  </si>
  <si>
    <t>จัดซื้อครุภัณฑ์คอมพิวเตอร์ จำนวน 1 เครื่อง       - คอมพิวเตอร์โน้ตบุ๊ก รหัสครุภัณฑ์ 416-65-0007</t>
  </si>
  <si>
    <t>หจก. ยูดี เทคโนโลยี แอนด์ ซัพพลาย      54/5 ถ.บ้านโนน ต.หมากแข้ง อ.เมือง      จ.อุดรธานี โทร.042-223436-7, 098-5859423 089-7109640           เลขประจำตัวผู้เสียภาษี 0413555001520</t>
  </si>
  <si>
    <t>65017225115 650114189669</t>
  </si>
  <si>
    <t xml:space="preserve">จัดซื้อวัสดุสำนักงาน จำนวน 53 รายการ    </t>
  </si>
  <si>
    <t>137/2565</t>
  </si>
  <si>
    <t xml:space="preserve">น.ส.ศิริกุล ศรีศาสตร์                          เลขประจำตัวประชาชน 1419900562024        ที่อยู่ 314 หมู่ที่ 3 ต.กุดจับ อ.กุดจับ จ.อุดรธานี </t>
  </si>
  <si>
    <t>17 ม.ค 65</t>
  </si>
  <si>
    <t>จ้างเหมาบริการบันทึกข้อมูลและช่วยปฏิบัติงานด้านสาธารณสุขและสิ่งแวดล้อม จำนวน 3 งวด    (21 ม.ค.- 31 มี.ค. 65) งวดที่ 1,2 งวดละ 9,000 บาท งวด 3  งวดละ 3,000 บาท</t>
  </si>
  <si>
    <t xml:space="preserve">นายวิชัย ธาตุไพบูลย์                              เลขประจำตัวประชาชน 3110100115784        ที่อยู่ 160 หมู่ที่ 6 ต.บ้านธาตุ อ.เพ็ญ จ.อุดรธานี </t>
  </si>
  <si>
    <t>หจก. ไอซีที อินทิเกรเตอร์ (สำนักงานใหญ่)       โดย นายณัฐพล จิตรีชาติ                            299/139 หมู่บ้านกาญจน์กนกวิลล์ ม.6 ต.สันผักหวาน อ.หางดง จ.เชียงใหม่ โทร.065-2659288 เลขประจำตัวผู้เสียภาษี 0503549005976 http://www.icti.co.th</t>
  </si>
  <si>
    <t>65017301526 650114245219</t>
  </si>
  <si>
    <t xml:space="preserve">จัดซื้อวัสดุสำนักงาน จำนวน 32 รายการ    </t>
  </si>
  <si>
    <t>กองสาธารณสุขฯ</t>
  </si>
  <si>
    <t xml:space="preserve">จัดซื้อวัสดุสำนักงาน จำนวน 42 รายการ    </t>
  </si>
  <si>
    <r>
      <t>นางฉลอง ผาจวง                                 เลขประจำตัวประชาชน 3411900589924</t>
    </r>
    <r>
      <rPr>
        <sz val="16"/>
        <color rgb="FFFF0000"/>
        <rFont val="TH SarabunPSK"/>
        <family val="2"/>
      </rPr>
      <t xml:space="preserve">    </t>
    </r>
    <r>
      <rPr>
        <sz val="16"/>
        <color theme="1"/>
        <rFont val="TH SarabunPSK"/>
        <family val="2"/>
      </rPr>
      <t xml:space="preserve">ที่อยู่ 55 หมู่ที่ 6 ต.บ้านธาตุ อ.เพ็ญ จ.อุดรธานี </t>
    </r>
  </si>
  <si>
    <t xml:space="preserve">  </t>
  </si>
  <si>
    <t>140/2565</t>
  </si>
  <si>
    <t>138/2565</t>
  </si>
  <si>
    <t>21 ม.ค 65</t>
  </si>
  <si>
    <t xml:space="preserve">จ้างเหมาบริการคนงานดูแลระบบผลิตน้ำประปา บ้านนาดอกไม้ จำนวน 6 งวด    (21 ม.ค.- 30 มิ.ย. 65) </t>
  </si>
  <si>
    <t>65017308025 650114248781</t>
  </si>
  <si>
    <t>65017367160 650114307635</t>
  </si>
  <si>
    <t>65017352005 650114287145</t>
  </si>
  <si>
    <t xml:space="preserve">จัดซื้อวัสดุก่อสร้าง จำนวน 21 รายการ    </t>
  </si>
  <si>
    <t>65017355709 650114290886</t>
  </si>
  <si>
    <t>หจก.ตรีลักษณ์ ซิงห์ คอนสตรัคชั่น         โดย นางนงลักษณ์ ไพรสณฑ์          หมู่บ้านชุมชนบ้านเหล่าสูง เลขที่ 522 หมู่ 8 ตำบลเพ็ญ อำเภอเพ็ญ จังหวัดอุดรธานี 41150 โทร.042-146095, โทร 064-6169949 เลขประจำตัวผู้เสียภาษี 0413564003785</t>
  </si>
  <si>
    <t>โอน ครั้งที่ 6 ลว.18 ม.ค.65</t>
  </si>
  <si>
    <t>จ้างเหมาซ่อมครุภัณฑ์คอมพิวเตอร์ รหัสครุภัณฑ์ 416-56-0071</t>
  </si>
  <si>
    <t>หจก. ยูดี เทคโนโลยี แอนด์ ซัพพลาย             โดย นายพูนศักดิ์ อาจชนะ                           54/5 ถ.บ้านโนน ต.หมากแข้ง อ.เมือง จ.อุดรธานีโทร.042-223436-7  เลขประจำตัวผู้เสียภาษี 04135501520</t>
  </si>
  <si>
    <t xml:space="preserve">นายนัฐกิจ รามฤทธิ์                           เลขประจำตัวประชาชน 1439900318484      ที่อยู่ 227 หมู่ที่ 2 ต.บ้านธาตุ อ.เพ็ญ จ.อุดรธานี </t>
  </si>
  <si>
    <t xml:space="preserve"> - ดูแลระบบผลิตน้ำประปา บ้านนาดอกไม้ ม.11</t>
  </si>
  <si>
    <t>(เริ่ม 21 ม.ค.-30 มิ.ย.65)</t>
  </si>
  <si>
    <t>139/2565</t>
  </si>
  <si>
    <t xml:space="preserve">จ้างเหมาบริการคนงานตัดแต่งต้นไม้พร้อมเก็บขนภายในเขต ทต.บ้านธาตุ จำนวน 6 งวด(21 ม.ค.- 30 มิ.ย. 65) </t>
  </si>
  <si>
    <t xml:space="preserve">นายอภิวัฒน์ ผาจวง                           เลขประจำตัวประชาชน 3409900929978     ที่อยู่ 85 หมู่ที่ 6 ต.บ้านธาตุ อ.เพ็ญ จ.อุดรธานี </t>
  </si>
  <si>
    <t xml:space="preserve">นายกิตติศักดิ์ บุตรด้วง                         เลขประจำตัวประชาชน 1419901840796   ที่อยู่ 152 หมู่ที่ 14 ต.บ้านธาตุ อ.เพ็ญ จ.อุดรธานี </t>
  </si>
  <si>
    <t xml:space="preserve">จ้างเหมาบริการคนงานดูแลระบบผลิตน้ำประปา บ้านนิคม จำนวน 6 งวด    (21 ม.ค.- 30 มิ.ย. 65) </t>
  </si>
  <si>
    <t>141/2565</t>
  </si>
  <si>
    <t>ประจำเดือน มกราคม  2565 (รวม   4  รายการ)</t>
  </si>
  <si>
    <t>หจก.จงร่ำรวย                               โดย นายสุทธิพงษ์ ศรีจันทร์ฮด             เลขที่ 33 หมู่ 3 ต.ห้วยสามพาด อ.ประจักษ์ศิลปาคม จ.อุดรธานี 41000 โทร.086-3281104, 093-3216212 แฟ๊กซ์ 042-912821 เลขประจำตัวผู้เสียภาษี 0413557001721</t>
  </si>
  <si>
    <t>65017407495 650114332246</t>
  </si>
  <si>
    <t>65017427601 650114347867</t>
  </si>
  <si>
    <t>จัดซื้อน้ำมันเชื้อเพลิงและหล่อลื่น  จำนวน 5 ถัง (น้ำมันไฮดรอลิค เบอร์ 68) ถังละ 1,440 บาท</t>
  </si>
  <si>
    <t>จัดซื้อวัสดุอื่นๆ จำนวน 1 รายการ           (มิเตอร์น้ำ ขนาด 1/2 นิ้ว หรือขนาด 4 หุน จำนวน 100 ตัวๆละ 550 บาท</t>
  </si>
  <si>
    <t>บริษัท ดูโฮม จำกัด (มหาชน) 888 หมู่ 11 ถ.มิตรภาพ ต.หมูม่น อ.เมืองอุดรธานี        จ.อุดรธานี โทร.042-180909             เลขประจำตัวผู้เสียภาษี 0107561000196</t>
  </si>
  <si>
    <t>65017186653 650114149240</t>
  </si>
  <si>
    <t>จัดซื้อวัสดุอื่นๆ (วัสดุประปา)</t>
  </si>
  <si>
    <t>หจก.พงษ์ภัคคอนกรีต (2012)                     โดยนายสุทธิพงษ์ มิ่งคำมี   บ้านโคกลาน 33 หมู่ 5  ต.เขือน้ำ อ.บ้านผือ  จ.อุดรธานี             ทะเบียนนิติบุคคลเลขที่ 041356200243         จดทะเบียน 18 ก.ย.2562</t>
  </si>
  <si>
    <t>จัดซื้อวัสดุคอมพิวเตอร์ จำนวน 5 รายการ     (หมึกเครื่องพิมพ์, ปลั๊ก 3 ตา ยาว 10 เมตร)</t>
  </si>
  <si>
    <t>ประจำเดือน  มกราคม 2565 (รวม  9 รายการ)</t>
  </si>
  <si>
    <t>65027003003 650214020012</t>
  </si>
  <si>
    <t>จัดซื้อน้ำมันเชื้อเพลิงและหล่อลื่น  จำนวน 1 ถัง (น้ำมันไฮดรอลิค เบอร์ 68) ถังละ 1,440 บาท</t>
  </si>
  <si>
    <t>65027046272 650214039920</t>
  </si>
  <si>
    <t>65017254449 650114205760</t>
  </si>
  <si>
    <t>ประจำเดือน  พฤศจิกายน 2564 (รวม  6  รายการ)</t>
  </si>
  <si>
    <t>ประจำเดือน  มกราคม 2565 (รวม   3  รายการ)</t>
  </si>
  <si>
    <t xml:space="preserve">จ้างซ่อมแซมปรับปรุงห้องกองการศึกษาฯ     </t>
  </si>
  <si>
    <t>หจก.จงร่ำรวย  โดย นายสุทธิพงษ์ ศรีจันทร์ฮด     เลขที่ 33 หมู่ 3 ต.ห้วยสามพาด อ.ประจักษ์ศิลปาคม จ.อุดรธานี 41000 โทร.086-3281104, 093-3216212 แฟ๊กซ์ 042-912821            เลขประจำตัวผู้เสียภาษี 0413557001721</t>
  </si>
  <si>
    <t>65027057835 650214049485</t>
  </si>
  <si>
    <t>25 ม.ค 65</t>
  </si>
  <si>
    <t>นายสุวิทย์ จรรยากรณ์                        เลขประจำตัวประชาชน 1341500184816   ที่อยู่ 8 หมู่ที่ 2 ต.โพธิ์ใหญ่ อ.วาริณชำราบ จ.อุบลราชธานี</t>
  </si>
  <si>
    <t>จัดซื้อวัสดุไฟฟ้าและวิทยุ  จำนวน 19 รายการ</t>
  </si>
  <si>
    <t>โอน ครั้งที่ 6 ลว. 18 ม.ค.65</t>
  </si>
  <si>
    <t>หจก.จ.เจริญ วิศวกรรม      โดยนายจิรวัฒน์ คำใบ          199 หมู่ 13 ต.บ้านธาตุ อ.เพ็ญ จ.อุดรธานี                     ทะเบียนนิติบุคคลเลขที่ 0413560001249            จดทะเบียน 28 เม.ย.2560</t>
  </si>
  <si>
    <r>
      <t>จัดซื้ออาหารเสริม (นม) (ปิดเทอม) ภาคเรียนที่ 1/2564</t>
    </r>
    <r>
      <rPr>
        <sz val="30"/>
        <color rgb="FFFF0000"/>
        <rFont val="TH SarabunPSK"/>
        <family val="2"/>
      </rPr>
      <t xml:space="preserve">                        </t>
    </r>
    <r>
      <rPr>
        <sz val="50"/>
        <color rgb="FFFF0000"/>
        <rFont val="TH SarabunPSK"/>
        <family val="2"/>
      </rPr>
      <t>(ยกเลิกใบสั่งจ้าง)</t>
    </r>
  </si>
  <si>
    <t xml:space="preserve">จัดซื้อครุภัณฑ์สำนักงาน  1.ตู้เก็บเอกสาร 2 บานเปิด (มอก.) จำนวน 5 ตู้ๆละ 5,500 บ. รหัส 406-65-0001-5 2.โต๊ะทำงานเหล็ก 4 ฟุต พร้อมกระจก จำนวน 4 ตัวๆละ 6,500 บ. รหัส 400-65-0001-4 3. เก้าอี้ทำงานปรับระดับได้ มีพนักพิง 4 ตัวๆละ 2,500 บ. รหัส 401-65-0001-4 </t>
  </si>
  <si>
    <t>จ้างเหมาซ่อมครุภัณฑ์งานบ้านงานครัว (เครื่องตัดหญ้า) จำนวน 2 เครื่อง เครื่องละ 850 บาท                  รหัสครุภัณฑ์ 711-64-0001,         รหัสครุภัณฑ์ 711-64-0002</t>
  </si>
  <si>
    <t>จ้างเหมาซ่อมแซมบำรุงรักษารถยนต์ส่วนกลาง ทะเบียน กท 6620 อุดรธานี รหัสครภัณฑ์ 001-52-0003      จำนวน 1 คัน</t>
  </si>
  <si>
    <t>อู่ช่างนิ่มเจริญยนต์                                  โดย นายทวิศิลป์ สุระคาย                           เลขที่ - หมู่ที่ 13 ต.เพ็ญ อ.เพ็ญจ.อุดรธานี           เลขประจำตัวประชาชน 3460100663126</t>
  </si>
  <si>
    <t>65027189419 65021412953</t>
  </si>
  <si>
    <t>65027287831 650214242972</t>
  </si>
  <si>
    <t>จ้างเหมาซ่อมแซมครุภัณฑ์คอมพิวเตอร์ (เครื่องคอมพิวเตอร์)                    รหัสครภัณฑ์ 416-64-0004      จำนวน 1 เครื่อง</t>
  </si>
  <si>
    <t>65027308901  65021452094</t>
  </si>
  <si>
    <t xml:space="preserve">จัดซื้อวัสดุอื่นๆ จำนวน 4 รายการ ดังนี้           1.ล้อรถเข็นขยะ 2.ลูกปืนรถเข็นขยะ 3.ถุงขยะดำ ขนาด 30x40 นิ้ว 4.ถุงขยะติดเชื้อสีแดง ขนาด 30x40 นิ้ว </t>
  </si>
  <si>
    <t>ร้าน ช.พาณิขย์                              โดย นายชาญวิทย์ เลิศพลสถิต              732/45  ม. 1 ต.บ้านเลื่อม อ.เมืองอุดรธานี จ.อุดรธานี โทร.092-2820295 เลขประจำตัวผู้เสียภาษีอากร 3409800058967 (ไม่มี vat)</t>
  </si>
  <si>
    <t>จ้างเหมาคนงานเฝ้าสถานีสูบน้ำด้วยไฟฟ้าบ้านนาคอม (หัวภูดิน) หมู่ที่ 3 จำนวน 3 เดือนๆ ละ 9,000 บาท       (1 ม.ค.- 30 มิ.ย. 65)</t>
  </si>
  <si>
    <t xml:space="preserve">นายสมคิด ธาตุทอง                                เลขประจำตัวประชาชน 3411900587638     ที่อยู่ 59 หมู่ที่ 6 ต.บ้านธาตุ อ.เพ็ญ จ.อุดรธานี  </t>
  </si>
  <si>
    <t xml:space="preserve"> - ดูแลระบบผลิตน้ำประปา บ้านสังซา ม.8</t>
  </si>
  <si>
    <t xml:space="preserve"> - ดูแลระบบผลิตน้ำประปา บ้านนิคม ม.13</t>
  </si>
  <si>
    <t xml:space="preserve"> - ปฎิบัติหน้าที่ดูแลด้านนิติกร</t>
  </si>
  <si>
    <t xml:space="preserve"> - ปฏิบัติหน้าที่ดูแลระบบสื่อสารและบันทึกข้อมูล</t>
  </si>
  <si>
    <t xml:space="preserve">นายมีชัย ทองเพ็ญ                                เลขประจำตัวประชาชน 3411900714290       ที่อยู่ 197 หมู่ที่ 9 ต.บ้านธาตุ อ.เพ็ญ จ.อุดรธานี </t>
  </si>
  <si>
    <t>ลาออก 31 ธ.ค.64</t>
  </si>
  <si>
    <t>(ไพรวัลย์ มี 2 สัญญา)</t>
  </si>
  <si>
    <t xml:space="preserve">นายอินทร์ ซูประโค                                เลขประจำตัวประชาชน 3310700589262       ที่อยู่ 234 หมู่ที่ 16 ต.บ้านธาตุ อ.เพ็ญ จ.อุดรธานี </t>
  </si>
  <si>
    <t>ลาออก</t>
  </si>
  <si>
    <t>65027472051  650214387912</t>
  </si>
  <si>
    <t>จัดซื้อวัสดุคอมพิวเตอร์ จำนวน 4 รายการ ดังนี้          (หมึกเครื่องพิมพ์)</t>
  </si>
  <si>
    <t>รุ่งเรืองพาณิชย์                              โดย นางกัญญาภัค หม้อนนทา              732/45  ม. 1 ต.บ้านเลื่อม อ.เมืองอุดรธานี จ.อุดรธานี โทร.092-9311003            เลขประจำตัวผู้เสียภาษีอากร 1419900115702 (ไม่มี vat)</t>
  </si>
  <si>
    <t>ประจำเดือน  กุมภาพันธ์ 2565 (รวม   3   รายการ)</t>
  </si>
  <si>
    <t>ประจำเดือน  กุมภาพันธ์  2565 (รวม  4  รายการ)</t>
  </si>
  <si>
    <t>จัดซื้อวัสดุน้ำมันเชื้อเพลิงและหล่อลื่น ตามโครงการขอรับสนับสนุนเครื่องจักรกลองค์การบริหารส่วนจังหวัดอุดรธานี จำนวน 400 ลิตรๆละ 29.79 บาท</t>
  </si>
  <si>
    <t>65037026043  650314023973</t>
  </si>
  <si>
    <t>จัดซื้อวัสดุก่อสร้าง (ยางมะตอยสำเร็จรูป 20 กิโลกรัม) จำนวน 1,000 ถุงๆละ 110 บาท</t>
  </si>
  <si>
    <t>ร้านเสาสวนีย์ รุ่งเรือง                      โดย น.ส.เสาวนีย์ รุ่งเรือง                        33 หมู่ 9 ต.หนองประดู่ อ.เลาขวัญ       จ.กาญจนบุรี 71210 โทร.084-3155961 เลขประจำตัวผู้เสียภาษี เลขที่ 1711000116796 (ไม่มี vat)</t>
  </si>
  <si>
    <t>จัดซื้อวัสดุน้ำมันเชื้อเพลิงและหล่อลื่น         (1 ต.ค. 64 - 4 มี.ค. 65)</t>
  </si>
  <si>
    <t>จัดซื้อวัสดุน้ำมันเชื้อเพลิงและหล่อลื่น         (5 มี.ค. 65 - 30 ก.ย. 65)</t>
  </si>
  <si>
    <t>ตามวงเงิน200,000 บาท</t>
  </si>
  <si>
    <t xml:space="preserve"> 1/65 (1 ต.ค.-3 มี.ค.65)</t>
  </si>
  <si>
    <t xml:space="preserve"> 2/65 (4 มี.ค.65-30 ก.ย.65)</t>
  </si>
  <si>
    <t>พี่มน</t>
  </si>
  <si>
    <t>65037291873  650314241242</t>
  </si>
  <si>
    <t>65037289049 650314292363</t>
  </si>
  <si>
    <t>จัดซื้อวัสดุเชื้อเพลิงและหล่อลื่น จำนวน 4 ถังๆละ 1,440 บาท (น้ำมันไฮดรอลิค ขนาด 18 ลิตร)</t>
  </si>
  <si>
    <t>65037359703 650314301629</t>
  </si>
  <si>
    <t xml:space="preserve">จัดซื้อวัสดุคอมพิวเตอร์  จำนวน 13 รายการ      </t>
  </si>
  <si>
    <t>65037369062 650314304771</t>
  </si>
  <si>
    <t xml:space="preserve">จัดซื้อวัสดุคอมพิวเตอร์  จำนวน 8 รายการ      </t>
  </si>
  <si>
    <t>65037294260 650314241917</t>
  </si>
  <si>
    <t>จ้างเหมาจัดทำตราเครื่องหมายและอักษรชื่อเต็มของเทศบาลตำบลบ้านธาตุ หรับรถยนต์ส่วนกลาง ทะเบียน กท 6620 อุดรธานี</t>
  </si>
  <si>
    <t>65037278405  650314238967</t>
  </si>
  <si>
    <t xml:space="preserve">จ้างเหมาย้ายคอมเพรสเซอร์ ศพด.บ้านนาคอมนาดอกไม้ </t>
  </si>
  <si>
    <t xml:space="preserve"> ร้านยุทธชัยเครื่องเย็น                             โดย นายทองหมุน ธาตุวิสัย                       183 หมู่ที่ 3 ต.บ้านธาตุ อ.เพ็ญ จ.อุดรธานี            เลขประจำตัวประชาชน 3411900178363</t>
  </si>
  <si>
    <t>65037376470 65031412249</t>
  </si>
  <si>
    <t>จัดซื้อครุภัณฑ์คอมพิวเตอร์  (โน้ตบุ๊ก) จำนวน 2 เครื่องๆ ละ 22,000 บาท                       รหัสครุภัณฑ์ 416-65-0008                      รหัสครุภัณฑ์ 416-65-0009</t>
  </si>
  <si>
    <t>65037004588 650314011521</t>
  </si>
  <si>
    <t>จ้างเหมาซ่อมแซมครุภัณฑ์คอมพิวเตอร์ (เครื่องพิมพ์ รหัสครุภัณฑ์416-59-0090)     จำนวน 1 เครื่อง</t>
  </si>
  <si>
    <t>65037482268 650314399838</t>
  </si>
  <si>
    <t>จ้างเหมาจัดทำป้ายไวนิล ขนาด 3x1.65 เมตร ตามโครงการป้องกันและควบคุมโรคพิษสุนัขบ้า จำนวน 1 ป้าย</t>
  </si>
  <si>
    <t>ประจำเดือน  มีนาคม  2565 (รวม  7  รายการ)</t>
  </si>
  <si>
    <t>ประจำเดือน  มีนาคม 2565 (รวม   4   รายการ)</t>
  </si>
  <si>
    <t>ทะเบียนคุมใบสั่งซื้อน้ำมันเชื้อเพลิง</t>
  </si>
  <si>
    <t>ประจำเดือนมีนาคม 2565 (จำนวน 1 รายการ)</t>
  </si>
  <si>
    <t xml:space="preserve">จ้างเหมาบริการคนงานประจำรถบรรทุกขยะ จำนวน 3 งวด                      (25 ม.ค.- 31 มี.ค. 65) </t>
  </si>
  <si>
    <t>จ้างเหมาคนงานทั่วไปปฏิบัติงานธุรการและการปฏิบัติงานด้านอื่นๆ             จำนวน 3 เดือนๆ ละ 9,000 บาท       (1 ม.ค.- 31 มี.ค. 65)</t>
  </si>
  <si>
    <t>65047092827 650414073373</t>
  </si>
  <si>
    <t>จัดซื้ออาหารเสริม (นม) (ปิดเทอม) ยูเอชที ชนิดกล่อง รสจืด ขนาด 200 ซีซี ราคากล่องละ 7.82 บาท/กล่อง ภาคเรียนที่ 1/64 ต.ค. 64 จำนวน 10 วัน และ ภาคเรียนที่ 2/64 (พ.ย.64-มี.ค.65) จำนวน 104 วันรวมทั้งสิ้น 114 วัน  จำนวนทั้งสิ้น 1,289 คน จำนวน 6 งวด</t>
  </si>
  <si>
    <t xml:space="preserve">จัดซื้ออาหารเสริม (นม) (ปิดเทอม) ยูเอชที ชนิดกล่อง รสจืด ขนาด 200 ซีซี ราคากล่องละ 7.82 บาท/กล่อง ภาคเรียนที่ 2/64  (เม.ย.65 จำนวน 21 วัน) (พ.ค.65 จำนวน 10 วัน) รวมทั้งสิ้น 31 วัน  จำนวนทั้งสิ้น 342 คน สำหรับ ศพด. จำนวน 10 ศูนย์  </t>
  </si>
  <si>
    <t>65047102423 650414078457</t>
  </si>
  <si>
    <t>65047106215 650414085676</t>
  </si>
  <si>
    <t>จัดซื้อวัสดุสำรวจ (เทปวัดระยะ) จำนวน 4 อันๆ ละ 800 บาท</t>
  </si>
  <si>
    <t>142/2565</t>
  </si>
  <si>
    <t xml:space="preserve">จ้างเหมาบริการงานด้านพัสดุ         จำนวน 6 เดือนๆละ 9,000 บาท          (1 เม.ย. - 30 ก.ย.65) </t>
  </si>
  <si>
    <t>143/2565</t>
  </si>
  <si>
    <t>จ้างเหมาบริการงานด้านจัดเก็บรายได้ จำนวน 6 เดือนๆละ 9,000 บาท          (1 เม.ย. - 30 ก.ย.65)</t>
  </si>
  <si>
    <t>144/2565</t>
  </si>
  <si>
    <t>145/2565</t>
  </si>
  <si>
    <t>146/2565</t>
  </si>
  <si>
    <t>147/2565</t>
  </si>
  <si>
    <t>จ้างเหมาบริการงานด้านงานธุรการ จำนวน 6 เดือนๆละ 9,000 บาท          (1 เม.ย. - 30 ก.ย.65)</t>
  </si>
  <si>
    <t>148/2565</t>
  </si>
  <si>
    <t>161/2565</t>
  </si>
  <si>
    <t xml:space="preserve">จ้างเหมาคนงานประจำรถขยะมูลฝอย จำนวน 3 เดือนๆ ละ 9,000 บาท       (1เม.ย.- 30 มิ.ย. 65) </t>
  </si>
  <si>
    <t>162/2565</t>
  </si>
  <si>
    <t>164/2565</t>
  </si>
  <si>
    <t>165/2565</t>
  </si>
  <si>
    <t>จ้างเหมาคนงานประจำรถขยะมูลฝอย จำนวน 3 เดือนๆ ละ 9,000 บาท       (1เม.ย.- 30 มิ.ย. 65)</t>
  </si>
  <si>
    <t>166/2565</t>
  </si>
  <si>
    <t xml:space="preserve">จ้างเหมาคนงานประจำรถขยะมูลฝอย จำนวน 3 เดือนๆ ละ 9,000 บาท       (1เม.ย.- 30 มิ.ย. 65)  </t>
  </si>
  <si>
    <t>160/2565</t>
  </si>
  <si>
    <t>163/2565</t>
  </si>
  <si>
    <t>159/2565</t>
  </si>
  <si>
    <t xml:space="preserve">งปม. โอนครั้งที่ 9 ลว.7 มี.ค.65 </t>
  </si>
  <si>
    <t>177/2565</t>
  </si>
  <si>
    <t>178/2565</t>
  </si>
  <si>
    <t>65047137143 650414112521</t>
  </si>
  <si>
    <t>จัดซื้อวัสดุไฟฟ้าและวิทยุ  จำนวน 11 รายการ</t>
  </si>
  <si>
    <t>154/2565</t>
  </si>
  <si>
    <t>จ้างเหมาคนงานทั่วไปปฏิบัติงานใน   ศูนย์พันาเด็กเล็กโรงเรียนบ้านดอนแก้ว จำนวน 3 เดือนๆ ละ 9,000 บาท         (1เม.ย.-30 มิ.ย.65)</t>
  </si>
  <si>
    <t xml:space="preserve">น.ส.ภาวิลัย ธรรมเมืองคุณ                         เลขประจำตัวประชาชน 1411901320582       ที่อยู่ 181 หมู่ที่ 6 ต.บ้านธาตุ อ.เพ็ญ จ.อุดรธานี </t>
  </si>
  <si>
    <t>จ้างเหมาคนงานทั่วไปปฏิบัติงานใน   ศูนย์พันาเด็กเล็กวัดบุญสวาท         จำนวน 3 เดือนๆ ละ 9,000 บาท        (1 ม.ค.- 31 มี.ค. 65)</t>
  </si>
  <si>
    <t>156/2565</t>
  </si>
  <si>
    <t>จ้างเหมาคนงานทั่วไปปฏิบัติงานใน   ศูนย์พันาเด็กเล็กวัดบุญสวาท         จำนวน 3 เดือนๆ ละ 9,000 บาท         (1เม.ย.-30 มิ.ย.65)</t>
  </si>
  <si>
    <t>153/2565</t>
  </si>
  <si>
    <t>จ้างเหมาคนงานทั่วไปปฏิบัติงานใน   ศูนย์พันาเด็กเล็กโรงเรียนหมูม่นโพนสว่าง จำนวน 3 เดือนๆละ 9,000 บาท       (1เม.ย.-30 มิ.ย.65)</t>
  </si>
  <si>
    <t>149/2565</t>
  </si>
  <si>
    <t>จ้างเหมาคนงานทั่วไปปฏิบัติงานใน   ศูนย์พันาเด็กเล็กบ้านนาคอมนาดอกไม้ จำนวน 3 เดือนๆละ 9,000 บาท         (1เม.ย.-30 มิ.ย.65)</t>
  </si>
  <si>
    <t>157/2565</t>
  </si>
  <si>
    <t xml:space="preserve">นางสาวอิศรียา แก้วเชียงหวาง                      เลขประจำตัวประชาชน 1411901337396       ที่อยู่ 23 หมู่ที่ 4 ต.บ้านธาตุ อ.เพ็ญ จ.อุดรธานี </t>
  </si>
  <si>
    <t>จ้างเหมาคนงานทั่วไปปฏิบัติงานใน   ศูนย์พันาเด็กเล็กวัดบำเพ็ญสมญานุกูลจำนวน 3 เดือนๆละ 9,000 บาท         (1เม.ย.-30 มิ.ย.65)</t>
  </si>
  <si>
    <t>155/2565</t>
  </si>
  <si>
    <t xml:space="preserve">นางสาวณัฑปภัทร กาหวาย                       เลขประจำตัวประชาชน 1411900174809     ที่อยู่ 265 หมู่ที่ 17 ต.บ้านธาตุ อ.เพ็ญ จ.อุดรธานี </t>
  </si>
  <si>
    <r>
      <t xml:space="preserve">น.ส.สุพัฒศร สุระคาย                               เลขประจำตัวประชาชน 1411900294065  </t>
    </r>
    <r>
      <rPr>
        <sz val="16"/>
        <color rgb="FFFF0000"/>
        <rFont val="TH SarabunPSK"/>
        <family val="2"/>
      </rPr>
      <t xml:space="preserve">   </t>
    </r>
    <r>
      <rPr>
        <sz val="16"/>
        <color theme="1"/>
        <rFont val="TH SarabunPSK"/>
        <family val="2"/>
      </rPr>
      <t xml:space="preserve">ที่อยู่ 243 หมู่ที่ 1 ต.บ้านธาตุ อ.เพ็ญ จ.อุดรธานี </t>
    </r>
  </si>
  <si>
    <t>จ้างเหมาคนงานทั่วไปปฏิบัติงานธุรการและการปฏิบัติงานด้านอื่นๆ             จำนวน 3 เดือนๆ ละ 9,000 บาท       (1เม.ย.-30 มิ.ย.65)</t>
  </si>
  <si>
    <t>จ้างเหมาบริการคนงานทั่วไปปฏิบัติงานแผนงานและการปฎิบัติงานด้านอื่นๆ   เดือนละ 9,000 บาท  จำนวน 3 เดือน (1เม.ย.-30 มิ.ย.65)</t>
  </si>
  <si>
    <t>จ้างเหมาคนงานทั่วไปปฏิบัติงานใน   ศูนย์พันาเด็กเล็กบ้านนาพูนทรัพย์ จำนวน 3 เดือนๆละ 9,000 บาท       (1เม.ย.-30 มิ.ย.65)</t>
  </si>
  <si>
    <t>152/2565</t>
  </si>
  <si>
    <t>150/2565</t>
  </si>
  <si>
    <t>จ้างเหมาคนงานทั่วไปปฏิบัติงานในศูนย์พันาเด็กเล็ก บ้านนาคอมนาดอกไม้ จำนวน 3 เดือนๆละ 9,000 บาท         (1เม.ย.-30 มิ.ย.65)</t>
  </si>
  <si>
    <t xml:space="preserve">นางสาวช่อผกา ธาตุไพบูลย์                       เลขประจำตัวประชาชน 1411900269851       ที่อยู่ 255 หมู่ที่ 18 ต.บ้านธาตุ อ.เพ็ญ จ.อุดรธานี </t>
  </si>
  <si>
    <t>151/2565</t>
  </si>
  <si>
    <t>จ้างเหมาบริการบันทึกข้อมูลและช่วยปฏิบัติงานด้านสาธารณสุขและสิ่งแวดล้อม จำนวน 3 เดือนๆ ละ 9,000 บาท       (1 เม.ย.- 30 มิ.ย. 65)</t>
  </si>
  <si>
    <t>170/2565</t>
  </si>
  <si>
    <t>171/2565</t>
  </si>
  <si>
    <t>จ้างเหมาบริการบันทึกข้อมูลและช่วยปฏิบัติงานด้านสาธารณสุขแลสิ่งแวดล้อมจำนวน 3 เดือนๆ ละ 9,000 บาท       (1 เม.ย.- 30 มิ.ย. 65)</t>
  </si>
  <si>
    <t>172/2565</t>
  </si>
  <si>
    <t>173/2565</t>
  </si>
  <si>
    <t>174/2565</t>
  </si>
  <si>
    <t>จ้างเหมาบริการบันทึกข้อมูลและช่วยปฏิบัติงานด้านสาธารณสุขและสิ่งแวดล้อมจำนวน 3 เดือนๆ ละ 9,000 บาท       (1 เม.ย.- 30 มิ.ย. 65)</t>
  </si>
  <si>
    <t>167/2565</t>
  </si>
  <si>
    <t>จ้างเหมาพนักงานขับรถบรรทุกขยะ จำนวน 3 เดือนๆ ละ 9,000 บาท       (1เม.ย.- 30 มิ.ย. 65)</t>
  </si>
  <si>
    <t>168/2565</t>
  </si>
  <si>
    <t>169/2565</t>
  </si>
  <si>
    <t>จ้างเหมาคนงานบันทึกข้อมูลและช่วยปฏิบัติงานด้านธุรการกองสาธารณสุขและสิ่งแวดล้อม จำนวน 3 เดือนๆ ละ 9,000 บาท  (1เม.ย.- 30 มิ.ย. 65)</t>
  </si>
  <si>
    <r>
      <t>นายสวัสดิ์ วันนา                              เลขประจำตัวประชาชน 3420900022664</t>
    </r>
    <r>
      <rPr>
        <sz val="16"/>
        <color rgb="FFFF0000"/>
        <rFont val="TH SarabunPSK"/>
        <family val="2"/>
      </rPr>
      <t xml:space="preserve">        </t>
    </r>
    <r>
      <rPr>
        <sz val="16"/>
        <color theme="1"/>
        <rFont val="TH SarabunPSK"/>
        <family val="2"/>
      </rPr>
      <t xml:space="preserve">ที่อยู่ 88 หมู่ที่ 20 ต.บ้านธาตุ อ.เพ็ญ จ.อุดรธานี </t>
    </r>
  </si>
  <si>
    <t>158/2565</t>
  </si>
  <si>
    <t>จ้างเหมาบริการบันทึกข้อมูลและช่วยปฏิบัติงานด้านกองทุนสุขภาพเทศบาลตำบลบ้านธาตุ จำนวน 3 เดือนๆ ละ 9,000 บาท (1เม.ย.-30 มิ.ย.65)</t>
  </si>
  <si>
    <t>175/2565</t>
  </si>
  <si>
    <t>จ้างเหมาพนักงานขับรถกู้ชีพฉุกเฉิน จำนวน 91 วัน (1 เม.ย.- 30 มิ.ย. 65)วันละ 315 บาท</t>
  </si>
  <si>
    <t>จ้างเหมาพนักงานขับรถยนต์กู้ชีพฉุกเฉิน จำนวน 91 วัน (1 เม.ย.- 30 มิ.ย. 65)วันละ 315 บาท</t>
  </si>
  <si>
    <t>จ้างเหมาบริการทำหน้าที่ผู้ปฏิบัติหน้าที่วิทยุสื่อสาร จำนวน 91 วัน (1 เม.ย.- 30 มิ.ย. 65)วันละ 315 บาท</t>
  </si>
  <si>
    <t>176/2565</t>
  </si>
  <si>
    <t>จ้างเหมาบริการทำหน้าที่ผู้ปฏิบัติหน้าที่ด้านการแพทย์ฉุกเฉินเทศบาลตำบล  บ้านธาตุ จำนวน 91 วัน (1 เม.ย.- 30 มิ.ย. 65)วันละ 315 บาท</t>
  </si>
  <si>
    <r>
      <t>นายไชยา ศรีบุระ                                  เลขประจำตัวประชาชน 33402500309597</t>
    </r>
    <r>
      <rPr>
        <sz val="16"/>
        <color rgb="FFFF0000"/>
        <rFont val="TH SarabunPSK"/>
        <family val="2"/>
      </rPr>
      <t xml:space="preserve">   </t>
    </r>
    <r>
      <rPr>
        <sz val="16"/>
        <color theme="1"/>
        <rFont val="TH SarabunPSK"/>
        <family val="2"/>
      </rPr>
      <t xml:space="preserve">ที่อยู่ 157 หมู่ที่ 14 ต.บ้านธาตุ อ.เพ็ญ จ.อุดรธานี  </t>
    </r>
  </si>
  <si>
    <t>180/2565</t>
  </si>
  <si>
    <t>179/2565</t>
  </si>
  <si>
    <t>181/2565</t>
  </si>
  <si>
    <r>
      <t>นายชยพล พิลาทา                                เลขประจำตัวประชาชน 1100500507802</t>
    </r>
    <r>
      <rPr>
        <sz val="16"/>
        <color rgb="FFFF0000"/>
        <rFont val="TH SarabunPSK"/>
        <family val="2"/>
      </rPr>
      <t xml:space="preserve">     </t>
    </r>
    <r>
      <rPr>
        <sz val="16"/>
        <color theme="1"/>
        <rFont val="TH SarabunPSK"/>
        <family val="2"/>
      </rPr>
      <t xml:space="preserve">ที่อยู่ 195 หมู่ที่ 13 ต.บ้านธาตุ อ.เพ็ญ จ.อุดรธานี  </t>
    </r>
  </si>
  <si>
    <r>
      <t>นายบุญเหลือ บุตรด้วง                             เลขประจำตัวประชาชน 3411900716136</t>
    </r>
    <r>
      <rPr>
        <sz val="16"/>
        <color rgb="FFFF0000"/>
        <rFont val="TH SarabunPSK"/>
        <family val="2"/>
      </rPr>
      <t xml:space="preserve">     </t>
    </r>
    <r>
      <rPr>
        <sz val="16"/>
        <color theme="1"/>
        <rFont val="TH SarabunPSK"/>
        <family val="2"/>
      </rPr>
      <t xml:space="preserve">ที่อยู่ 91 หมู่ที่ 14 ต.บ้านธาตุ อ.เพ็ญ จ.อุดรธานี  </t>
    </r>
  </si>
  <si>
    <t>จ้างเหมาบริการทำหน้าที่ผู้ปฏิบัติหน้าที่ด้านการแพทย์ฉุกเฉินเทศบาลตำบลบ้านธาตุ จำนวน 3 เดือนๆ (1 ม.ค.- 31 มี.ค. 65) วันละ 315 บาท</t>
  </si>
  <si>
    <t>182/2565</t>
  </si>
  <si>
    <r>
      <t>นายปิยพล พระลับรักษา                          เลขประจำตัวประชาชน 3440300004185</t>
    </r>
    <r>
      <rPr>
        <sz val="16"/>
        <color rgb="FFFF0000"/>
        <rFont val="TH SarabunPSK"/>
        <family val="2"/>
      </rPr>
      <t xml:space="preserve">    </t>
    </r>
    <r>
      <rPr>
        <sz val="16"/>
        <color theme="1"/>
        <rFont val="TH SarabunPSK"/>
        <family val="2"/>
      </rPr>
      <t xml:space="preserve">ที่อยู่ 65 หมู่ที่ 6 ต.เชียงคาน อ.เชียงคาน จ.เลย </t>
    </r>
  </si>
  <si>
    <t xml:space="preserve"> - ธุรการ</t>
  </si>
  <si>
    <t>183/2565</t>
  </si>
  <si>
    <t>จ้างเหมาบริการพนักงานรถบรรทุกติดตั้งเครนไฮโรดิก จำนวน 3 เดือนๆ ละ 9,000 บาท  (1เม.ย.- 30 มิ.ย. 65)</t>
  </si>
  <si>
    <r>
      <t>นายรัฐพล ดวงจันทร์                          เลขประจำตัวประชาชน 3410101974150</t>
    </r>
    <r>
      <rPr>
        <sz val="16"/>
        <color rgb="FFFF0000"/>
        <rFont val="TH SarabunPSK"/>
        <family val="2"/>
      </rPr>
      <t xml:space="preserve">   </t>
    </r>
    <r>
      <rPr>
        <sz val="16"/>
        <color theme="1"/>
        <rFont val="TH SarabunPSK"/>
        <family val="2"/>
      </rPr>
      <t>ที่อยู่ 94 หมู่ที่ 13 ต.หนองนาคำ อ.เมืองอุดรธานี จ.อุดรธานี</t>
    </r>
  </si>
  <si>
    <t xml:space="preserve"> - พนง.รถบรรทุกติดตั้งเครนไฮโรดิก </t>
  </si>
  <si>
    <t>(1เม.ย.-30มิ.ย.65) 3 เดือน</t>
  </si>
  <si>
    <t xml:space="preserve">จัดซื้อวัสดุอื่นๆ  จำนวน 28 รายการ     </t>
  </si>
  <si>
    <t>มี.ค. (1-3มี.ค.)</t>
  </si>
  <si>
    <t>มี.ค.(4-31มี.ค.)</t>
  </si>
  <si>
    <t>จ้างเหมาบริการจัดทำตรายาง     จำนวน 1 อัน</t>
  </si>
  <si>
    <t>ประจำเดือน  เมษายน  2565 (รวม    4   รายการ)</t>
  </si>
  <si>
    <t>ประจำเดือน  เมษายน 2565 (รวม   -   รายการ)</t>
  </si>
  <si>
    <t xml:space="preserve"> - </t>
  </si>
  <si>
    <t xml:space="preserve"> -</t>
  </si>
  <si>
    <t>65057071531 650514060215</t>
  </si>
  <si>
    <t>ร้านรุ่งรัตน์บริการ  โดย นางรุ่งรัตน์ กองโส           4/12 ถ.เบญจรงศ์ ต.หมากแข้ง อ.เมืองอุดรธานี จ.อุดรธานีโทร.086-8572555, 042-113398    เลขประจำตัวผู้เสียภาษี 5410100154015       (ไม่มี vat)</t>
  </si>
  <si>
    <t>65047219250 650414179619</t>
  </si>
  <si>
    <t>จ้างซ่อมครุภัณฑ์คอมพิวเตอร์ จำนวน 3 รายการ ดังนี้ 1.คอมพิวเตอร์ Lenovo รหัส 416-60-0098 (กองคลัง) 2.เครื่องพิมพ์ epson L3150 รหัส 416-63-0119 (กองยุทธฯ) 3. เครื่องพิมพ์ Canon MP287 รหัส 416-56-0064 (กองช่าง)</t>
  </si>
  <si>
    <t>65057155456 650514128319</t>
  </si>
  <si>
    <t>องค์การเภสัชกรรม                            โดย นายสิทธิพงษ์ จริยะวิสุทธิ์)   88 หมู่ 10 ถนนรอบเมือง ต.กุดสระ    อ.เมืองอุดรธานี จ.อุดรธานี  โทร.042-2218124 โทรสาร 042-2218036 เลขประจำตัวผู้เสียภาษีเลขที่ 0994000165315</t>
  </si>
  <si>
    <t>เงินรับฝาก สปสช.</t>
  </si>
  <si>
    <t>จัดซื้อวัสดุวิทยาศาสต์หรือการแพทย์ ตามโครงการจัดซื้อชุดตรวจ Antigen Test Kit (ATK) เพื่อคัดกรองผู้มีความเสี่ยงในการติดเชื้อไวรัส      โคโรนา (Covid-19) (1 กล่อง มีจำนวน 25 ชุดๆ รวมทั้งสิ้น 5,000 บาท ชุดละ 31.50 บาท)</t>
  </si>
  <si>
    <t>อู่สัมพันธ์การช่าง โดย นางอรนุช สุขปาน            เลขประจำตัวผู้เสียภาษี 5419900001572        ที่อยู่ 45/1 หมู่ที่ 8 ต.เพ็ญ อ.เพ็ญ จ.อุดรธานี โทร.092-9579734 (ไม่จด vat)</t>
  </si>
  <si>
    <t>65057166102 650514136517</t>
  </si>
  <si>
    <t>จ้างซ่อมแซมครุภัณฑ์ยานพาหนะ รถุยนต์ส่วนกลาง ทะเบียน ผค 9902 อุดรธานี (สีขาว)  - เปลี่ยนแบตเตอรี่จำนวน 1 รายการ</t>
  </si>
  <si>
    <t>65057166744 650514138144</t>
  </si>
  <si>
    <t>65057196560 650514158921</t>
  </si>
  <si>
    <t>จ้างเหมาเวทีและเครื่องเสียง เวทีประชาสัมพันธ์หน้าวัด ตามโครงการงานประเพณีบุญบั้งไฟบ้านธาตุสืบสานตำนานม้าคำไหลเทศบาลตำบลบ้านธาตุ</t>
  </si>
  <si>
    <t>จ้างเหมาจัดทำป้ายแพรพิธีเปิดและ    ค่าเช่าชุดถือป้ายแพรพิธีเปิดพร้อมแต่งหน้าทำผม ตามโครงการงานประเพณีบุญบั้งไฟบ้านธาตุสืบสานตำนานม้าคำไหลเทศบาลตำบลบ้านธาตุ</t>
  </si>
  <si>
    <t>จ้างเหมาจัดทำเครื่องบายศรีบวงสรวงปู่พระศรีมหาธาตุ, ปู่ม้าคำไหล ตามโครงการงานประเพณีบุญบั้งไฟบ้านธาตุสืบสานตำนานม้าคำไหลเทศบาลตำบลบ้านธาตุ</t>
  </si>
  <si>
    <t>จ้างเหมารถเครื่องเสียงขบวนแห่บั้งไฟ, รำบวงสรวง ตามโครงการงานประเพณีบุญบั้งไฟบ้านธาตุสืบสานตำนานม้าคำไหลเทศบาลตำบลบ้านธาตุ</t>
  </si>
  <si>
    <t>จ้างเหมาเวทีและเครื่องเสียง เวทีกลางหนองศรีเจริญ ตามโครงการงานประเพณีบุญบั้งไฟบ้านธาตุสืบสานตำนานม้าคำไหลเทศบาลตำบลบ้านธาตุ</t>
  </si>
  <si>
    <t>65057196551 650514159609</t>
  </si>
  <si>
    <t>65057199566 650514161311</t>
  </si>
  <si>
    <t>65057198705 650514160934</t>
  </si>
  <si>
    <t>จ้างเหมาตกแต่งรถขบวนแห่ ตามโครงการงานประเพณีบุญบั้งไฟบ้านธาตุสืบสานตำนานม้าคำไหลเทศบาลตำบลบ้านธาตุ</t>
  </si>
  <si>
    <t>ร้านประยูรการพิมพ์ โดยนางเสงี่ยม โสเก่าข่า        เลขประจำตัวผู้เสียภาษีอากร 3411100466194     ที่อยู่ 534/1 หมู่ที่ 8 ต.เพ็ญ อ.เพ็ญ จ.อุดรธานี โทร.092-9579734 (มี vat)</t>
  </si>
  <si>
    <t>หนองคาย อาร์ท กรุ๊ฟ โดย นายชนินทร์ หาธร       เลขประจำผู้เสียภาษี 3439900218672           ที่อยู่ 471 หมู่ที่ 14 ต.ในเมือง อ.มืองหนองคาย จ.หนองคาย โทร.081-8735581 (ไม่มี vat)</t>
  </si>
  <si>
    <t>นายประคอง  ธรรมธาตุ                              เลขประจำตัวประชาชน 1411900152295        ที่อยู่ 93 หมู่ที่ 20 ต.เพ็ญ อ.เพ็ญ จ.อุดรธานี โทร.092-9579734 (ไม่มี vat)</t>
  </si>
  <si>
    <t xml:space="preserve">นายธาดา ชาวสระใคร                            เลขประจำตัวผู้เสียภาษี 3411900229553        ที่อยู่ 343 หมู่ที่ 1 ต.บ้านธาตุ อ.เพ็ญ จ.อุดรธานี </t>
  </si>
  <si>
    <t>65057200323 650514161613</t>
  </si>
  <si>
    <t>นางเพ็ญศรี วิชาพรม                               เลขประจำตัวผู้เสียภาษี 3411900716462        ที่อยู่ 255 หมู่ที่ 10 ต.บ้านธาตุ อ.เพ็ญ จ.อุดรธานี โทร.092-9579734</t>
  </si>
  <si>
    <t>65057197089 650514161916</t>
  </si>
  <si>
    <t>65057287915 650514237512</t>
  </si>
  <si>
    <t>จัดซื้อวัสดุ ตามโครงการสัตว์ปลอดโรค คนปลอดภัย จากโรคพิษสุนัขบ้า ตามพระปณิธาน ศาสตราจารย์ ดร.สมเด็จพระเจ้าลูกยาเธอเจ้าฟ้าจุฬาภรวลัยลักษณ์อัครราชกุมารี) จำนวน 5 รายการ</t>
  </si>
  <si>
    <t>ร้านมหาชนก โดย นายวรนนทร์ วิริยะเสนา  39/74 หมู่ 08 ต.เมืองเก่า อ.เมืองขอนแก่น   จ.ขอนแก่น โทร. 093-4949301           เลขประจำตัวผู้เสียภาษี 1349900290319</t>
  </si>
  <si>
    <t>จัดซื้อวัสดุน้ำมันเชื้อเพลิงและหล่อลื่น         (5 พ.ค. 65 - 30 ก.ย. 65)</t>
  </si>
  <si>
    <t>ตามวงเงิน150,000 บาท</t>
  </si>
  <si>
    <t>3/65 (5 พ.ค.65-30 ก.ย.65)</t>
  </si>
  <si>
    <t>65057393662 650514319496</t>
  </si>
  <si>
    <t>จ้างซ่อมแซมครุภัณฑ์ยานพาหนะ รถยนต์ส่วนกลาง ทะเบียน บว 5500 อุดรธานี (สีดำ) รหัส 001-52-0003 รายการ -เปลี่ยนน้ำมันเครื่อง - กรองแอร์ - ท่อไอน้ำมัน - ใบปัดน้ำฝน</t>
  </si>
  <si>
    <t>184/2565</t>
  </si>
  <si>
    <t>185/2565</t>
  </si>
  <si>
    <t>186/2565</t>
  </si>
  <si>
    <t>จ้างเหมาบริการทำหน้าที่เก็บขยะ หมู่ 2 จำนวน 166 ฉบับๆละ 7 บาท       จำนวน 6 เดือน (1 เม.ย.-30 ก.ย.65)</t>
  </si>
  <si>
    <t xml:space="preserve">นางศรีจันทร์ กาหวาย                             เลขประจำตัวประชาชน 3411900168619     ที่อยู่ 2 หมู่ที่ 2 ต.บ้านธาตุ อ.เพ็ญ จ.อุดรธานี </t>
  </si>
  <si>
    <t>187/2565</t>
  </si>
  <si>
    <t>จ้างเหมาบริการทำหน้าที่เก็บขยะ หมู่ 3 จำนวน 204 ฉบับๆ ละ 7 บาท        เป็นเงิน 8,568 บาท เก็บค่าน้ำประปา หมู่ที่ 3 จำนวน 265 ฉบับๆละ 7 บาท เป็นเงิน 11,130 จำนวน 6 เดือน         (1 เม.ย.-30 ก.ย.65)</t>
  </si>
  <si>
    <r>
      <t>นางแสงอรุณ ธาตุวิสัย                              เลขประจำตัวประชาชน 3411900452686</t>
    </r>
    <r>
      <rPr>
        <sz val="16"/>
        <color rgb="FFFF0000"/>
        <rFont val="TH SarabunPSK"/>
        <family val="2"/>
      </rPr>
      <t xml:space="preserve">     </t>
    </r>
    <r>
      <rPr>
        <sz val="16"/>
        <color theme="1"/>
        <rFont val="TH SarabunPSK"/>
        <family val="2"/>
      </rPr>
      <t xml:space="preserve">ที่อยู่ 44 หมู่ที่ 3 ต.บ้านธาตุ อ.เพ็ญ จ.อุดรธานี </t>
    </r>
  </si>
  <si>
    <t>188/2565</t>
  </si>
  <si>
    <t>จ้างเหมาบริการทำหน้าที่เก็บขยะ หมู่ 4 จำนวน 131 ฉบับๆ ละ 7 บาท         จำนวน 6 เดือน  (1 เม.ย.-30 ก.ย.65)</t>
  </si>
  <si>
    <t>189/2565</t>
  </si>
  <si>
    <t>190/2565</t>
  </si>
  <si>
    <t>จ้างเหมาบริการทำหน้าที่เก็บขยะ หมู่ 6 จำนวน 103 ฉบับๆ ละ 7 บาท         จำนวน 6 เดือน   (1 เม.ย.-30 ก.ย.65)</t>
  </si>
  <si>
    <t>191/2565</t>
  </si>
  <si>
    <t>จ้างเหมาเก็บขยะ หมู่ 7 จำนวน 202 ฉบับ  เป็นเงิน 8,484 บาท, หมู่ 16 จำนวน 135 ฉบับ เป็นเงิน 5,670 บาท เก็บค่าน้ำประปา หมู่ 7 จำนวน 77 ฉบับ เป็นเงิน 3,234 บาท, หมู่ 16 จำนวน 155 ฉบับ เป็นเงิน 6,510 บาท ฉบับละ 7 บาท จำนวน 6 เดือน  (1 เม.ย.-30 ก.ย.65)</t>
  </si>
  <si>
    <t>จ้างเหมาเก็บขยะ หมู่ 7 จำนวน 198 ฉบับ  เป็นเงิน 8,316 บาท, หมู่ 16 จำนวน 120 ฉบับ เป็นเงิน 5,040 บาท เก็บค่าน้ำประปา หมู่ 7 จำนวน 76 ฉบับ เป็นเงิน 3,192 บาท, หมู่ 16 จำนวน 154 ฉบับ เป็นเงิน 6,468 บาท ฉบับละ 7 บาท จำนวน 6 เดือน       (1 ต.ค.-31มี.ค.65)</t>
  </si>
  <si>
    <t>จ้างเหมาบริการทำหน้าที่เก็บขยะ หมู่ 8 จำนวน 171 ฉบับ เป็นเงิน 7,182 บาท เก็บค่าน้ำประปา หมู่ที่ 3 จำนวน 129 ฉบับเป็นเงิน 5,418 ฉบับละ 7 บาท จำนวน 6 เดือน  (1 เม.ย.-30 ก.ย.65)</t>
  </si>
  <si>
    <r>
      <t>นายไพรวรรณ์ กาหวาย                             เลขประจำตัวประชาชน 3411900717141</t>
    </r>
    <r>
      <rPr>
        <sz val="16"/>
        <color rgb="FFFF0000"/>
        <rFont val="TH SarabunPSK"/>
        <family val="2"/>
      </rPr>
      <t xml:space="preserve">        </t>
    </r>
    <r>
      <rPr>
        <sz val="16"/>
        <color theme="1"/>
        <rFont val="TH SarabunPSK"/>
        <family val="2"/>
      </rPr>
      <t xml:space="preserve">ที่อยู่ 247 หมู่ที่ 9 ต.บ้านธาตุ อ.เพ็ญ จ.อุดรธานี </t>
    </r>
  </si>
  <si>
    <t>192/2565</t>
  </si>
  <si>
    <t>193/2565</t>
  </si>
  <si>
    <t>จ้างเหมาบริการทำหน้าที่เก็บขยะ หมู่ 9 จำนวน 173 ฉบับๆละ 7 บาท เป็นเงิน 7,266 บาท เก็บค่าน้ำประปา 71 ฉบับละ 7 บาท เป็นเงิน 2,982  จำนวน 6 เดือน(1 เม.ย.-30 ก.ย.65)</t>
  </si>
  <si>
    <r>
      <t>นายไพรวรรณ์ กาหวาย                             เลขประจำตัวประชาชน 3411900717141</t>
    </r>
    <r>
      <rPr>
        <sz val="16"/>
        <color rgb="FFFF0000"/>
        <rFont val="TH SarabunPSK"/>
        <family val="2"/>
      </rPr>
      <t xml:space="preserve">     </t>
    </r>
    <r>
      <rPr>
        <sz val="16"/>
        <color theme="1"/>
        <rFont val="TH SarabunPSK"/>
        <family val="2"/>
      </rPr>
      <t xml:space="preserve">ที่อยู่ 247 หมู่ที่ 9 ต.บ้านธาตุ อ.เพ็ญ จ.อุดรธานี </t>
    </r>
  </si>
  <si>
    <t>194/2565</t>
  </si>
  <si>
    <t>จ้างเหมาทำหน้าที่เก็บขยะ หมู่ 10 จำนวน 126 ฉบับ เป็นเงิน 5,292 บาท เก็บค่าน้ำประปา หมู่ที่ 10 จำนวน 118 ฉบับ เป็นเงิน 4,956 ฉบับละ 7 บาท จำนวน 6 เดือน (1 เม.ย.-30 ก.ย.65)</t>
  </si>
  <si>
    <r>
      <t>น.ส.ยุภาวัลย์ ธาตุไพบูลย์                          เลขประจำตัวประชาชน 3411900167124</t>
    </r>
    <r>
      <rPr>
        <sz val="16"/>
        <color rgb="FFFF0000"/>
        <rFont val="TH SarabunPSK"/>
        <family val="2"/>
      </rPr>
      <t xml:space="preserve">     </t>
    </r>
    <r>
      <rPr>
        <sz val="16"/>
        <color theme="1"/>
        <rFont val="TH SarabunPSK"/>
        <family val="2"/>
      </rPr>
      <t xml:space="preserve">ที่อยู่ 16 หมู่ที่ 18 ต.บ้านธาตุ อ.เพ็ญ จ.อุดรธานี </t>
    </r>
  </si>
  <si>
    <t>65057420628 650514341758</t>
  </si>
  <si>
    <t>จัดซื้อวัสดุก่อสร้าง จำนวน 4 รายการ</t>
  </si>
  <si>
    <t>ร้านพิพัฒน์ค้าไม้ โดย นายพิพัฒน์ ทัศพงษ์167 หมู่ 14 บ้านนาพูนทรัพย์ ต.บ้านธาตุ  อ.เพ็ญ   จ.อุดรธานี โทร. 091-7204494    เลขประจำตัวผู้เสียภาษี 3411900344859</t>
  </si>
  <si>
    <t>195/2565</t>
  </si>
  <si>
    <t>จ้างเหมาทำหน้าที่เก็บขยะ  หมู่ 11 จำนวน 150 ฉบับ เป็นเงิน 6,300 บาท เก็บค่าน้ำประปา หมู่ที่ 11 จำนวน 239 ฉบับ เป็นเงิน 10,038 ฉบับละ 7 บาท จำนวน 6 เดือน (1 เม.ย.-30 ก.ย.65)</t>
  </si>
  <si>
    <t>196/2565</t>
  </si>
  <si>
    <t>จ้างเหมาบริการทำหน้าที่เก็บขยะ หมู่ 12 จำนวน 119 ฉบับๆ ละ 7 บาท         จำนวน 6 เดือน  (1 เม.ย.-30 ก.ย.65)</t>
  </si>
  <si>
    <t>จ้างเหมาทำหน้าที่เก็บขยะ หมู่ 13   จำนวน 117 ฉบับๆ ละ 7 บาท         จำนวน 6 เดือน  (1 เม.ย.-30 ก.ย.65)</t>
  </si>
  <si>
    <t>จ้างเหมาบริการทำหน้าที่เก็บขยะ หมู่ 1 จำนวน 224 ฉบับๆ ละ 7 บาท      จำนวน 6 เดือน  (1 เม.ย.-30 ก.ย.65)</t>
  </si>
  <si>
    <t xml:space="preserve">น.ส.สรวย อ่อนทุ่งใหญ่                            เลขประจำตัวประชาชน 3411900467683       ที่อยู่ 13 หมู่ที่ 15 ต.บ้านธาตุ อ.เพ็ญ จ.อุดรธานี </t>
  </si>
  <si>
    <t>197/2565</t>
  </si>
  <si>
    <t>198/2565</t>
  </si>
  <si>
    <t>199/2565</t>
  </si>
  <si>
    <t>จ้างเหมาทำหน้าที่เก็บขยะ หมู่ 15  จำนวน 62 ฉบับๆ ละ 7 บาท         จำนวน 6 เดือน  (1 เม.ย.-30 ก.ย.65)</t>
  </si>
  <si>
    <t>จ้างเหมาทำหน้าที่เก็บขยะ หมู่ 17  จำนวน 148 ฉบับๆ ละ 7 บาท         จำนวน 6 เดือน  (1 เม.ย.-30 ก.ย.65)</t>
  </si>
  <si>
    <t>200/2565</t>
  </si>
  <si>
    <t>201/2565</t>
  </si>
  <si>
    <r>
      <t xml:space="preserve">นางสังวาลย์ รักษาวงศ์                             เลขประจำตัวประชาชน 3311000352082 </t>
    </r>
    <r>
      <rPr>
        <sz val="16"/>
        <color rgb="FFFF0000"/>
        <rFont val="TH SarabunPSK"/>
        <family val="2"/>
      </rPr>
      <t xml:space="preserve">    </t>
    </r>
    <r>
      <rPr>
        <sz val="16"/>
        <color theme="1"/>
        <rFont val="TH SarabunPSK"/>
        <family val="2"/>
      </rPr>
      <t xml:space="preserve">ที่อยู่ 283 หมู่ที่ 18 ต.บ้านธาตุ อ.เพ็ญ จ.อุดรธานี </t>
    </r>
  </si>
  <si>
    <t>จ้างเหมาทำหน้าที่เก็บขยะ หมู่ 18  จำนวน 158 ฉบับๆ ละ 7 บาท         จำนวน 6 เดือน  (1 เม.ย.-30 ก.ย.65)</t>
  </si>
  <si>
    <t>202/2565</t>
  </si>
  <si>
    <t>จ้างเหมาทำหน้าที่เก็บขยะ หมู่ 19  จำนวน 112 ฉบับๆ ละ 7 บาท         จำนวน 6 เดือน  (1 เม.ย.-30 ก.ย.65)</t>
  </si>
  <si>
    <t>203/2565</t>
  </si>
  <si>
    <t>จ้างเหมาทำหน้าที่เก็บขยะ หมู่ 20 จำนวน 134 ฉบับ เป็นเงิน 5,628 บาท เก็บค่าน้ำประปา หมู่ที่ 20 จำนวน 117 ฉบับ เป็นเงิน 4,914 ฉบับละ 7 บาท จำนวน 6 เดือน  (1 เม.ย.-30 ก.ย.65)</t>
  </si>
  <si>
    <t>204/2565</t>
  </si>
  <si>
    <t>จ้างเหมาทำหน้าที่เก็บขยะ หมู่ 1   จำนวน 243 ฉบับๆ ละ 7 บาท         จำนวน 6 เดือน  (1 เม.ย.-30 ก.ย.65)</t>
  </si>
  <si>
    <r>
      <t xml:space="preserve">นางคำปุ่น ดวงขวาง                              เลขประจำตัวประชาชน 3411900175917   </t>
    </r>
    <r>
      <rPr>
        <sz val="16"/>
        <color rgb="FFFF0000"/>
        <rFont val="TH SarabunPSK"/>
        <family val="2"/>
      </rPr>
      <t xml:space="preserve">   </t>
    </r>
    <r>
      <rPr>
        <sz val="16"/>
        <color theme="1"/>
        <rFont val="TH SarabunPSK"/>
        <family val="2"/>
      </rPr>
      <t xml:space="preserve">ที่อยู่ 214 หมู่ที่ 1 ต.บ้านธาตุ อ.เพ็ญ จ.อุดรธานี </t>
    </r>
  </si>
  <si>
    <t>จ้างเหมาทำหน้าที่เก็บค่าน้ำประปา     หมู่ 2 จำนวน 202 ฉบับ เป็นเงิน 8,484 บาท ฉบับละ 7 บาท จำนวน 6 เดือน (1 เม.ย.-30 ก.ย.65)</t>
  </si>
  <si>
    <r>
      <t xml:space="preserve">นางพรทิพย์ รามฤทธิ์                               เลขประจำตัวประชาชน 3411900176239  </t>
    </r>
    <r>
      <rPr>
        <sz val="16"/>
        <color rgb="FFFF0000"/>
        <rFont val="TH SarabunPSK"/>
        <family val="2"/>
      </rPr>
      <t xml:space="preserve">   </t>
    </r>
    <r>
      <rPr>
        <sz val="16"/>
        <color theme="1"/>
        <rFont val="TH SarabunPSK"/>
        <family val="2"/>
      </rPr>
      <t xml:space="preserve">ที่อยู่ 103 หมู่ที่ 2 ต.บ้านธาตุ อ.เพ็ญ จ.อุดรธานี </t>
    </r>
  </si>
  <si>
    <t>205/2565</t>
  </si>
  <si>
    <t>206/2565</t>
  </si>
  <si>
    <t>207/2565</t>
  </si>
  <si>
    <t>จ้างเหมาทำหน้าที่เก็บค่าน้ำประปา หมู่ที่4 จำนวน 260 ฉบับ เป็นเงิน 10,920ฉบับละ 7 บาท จำนวน 6 เดือน (1 เม.ย.-30 ก.ย.65)</t>
  </si>
  <si>
    <t>จ้างเหมาทำหน้าที่เก็บค่าน้ำประปา     หมู่14จำนวน 174 ฉบับ เป็นเงิน 1,044 บาทฉบับละ 7 บาท จำนวน 6 เดือน    (1 เม.ย.-30 ก.ย.65)</t>
  </si>
  <si>
    <t>208/2565</t>
  </si>
  <si>
    <t>จ้างเหมาทำหน้าที่เก็บค่าน้ำประปา หมู่ที่9 (บ.ยามกาน้อย) จำนวน 204 ฉบับ เป็นเงิน 8,568 ฉบับละ 7 บาท จำนวน 6 เดือน (1 เม.ย.-30 ก.ย.65)</t>
  </si>
  <si>
    <t>209/2565</t>
  </si>
  <si>
    <t>จ้างเหมาทำหน้าที่เก็บค่าน้ำประปา     หมู่ 18 จำนวน 176 ฉบับ เป็นเงิน 7,392 บาท ฉบับละ 7 บาท จำนวน 6 เดือน (1 เม.ย.-30 ก.ย.65)</t>
  </si>
  <si>
    <t>จ้างเหมาบริการทำหน้าที่เก็บขยะ หมู่ 5 จำนวน 150  เก็บค่าน้ำประปา เป็นเงิน 6,300 บาท หมู่ที่ 5 จำนวน 182 ฉบับ เป็นเงิน 7,644 บาท และหมู่ 12 จำนวน 157 เป็นเงิน 6,594 บาท ฉบับๆ ละ 7 บาท จำนวน 6 เดือน  (1 เม.ย.-30 ก.ย.65)</t>
  </si>
  <si>
    <t xml:space="preserve">นางสาวพรรนิภา ดุมรถ                          เลขประจำตัวประชาชน 3411900476267     ที่อยู่ 13 หมู่ที่ 5 ต.บ้านธาตุ อ.เพ็ญ จ.อุดรธานี </t>
  </si>
  <si>
    <t>จ้างเหมาทำหน้าที่เก็บขยะ หมู่ 14  จำนวน 124 ฉบับๆ ละ 7 บาท         จำนวน 6 เดือน  (1 เม.ย.-30 ก.ย.65)</t>
  </si>
  <si>
    <t xml:space="preserve">จ้างเหมาบริการคนงานประจำรถบรรทุกขยะ จำนวน 3 งวด                 (1เม.ย.- 30 มิ.ย. 65)  </t>
  </si>
  <si>
    <t>ประจำเดือน  พฤษภาคม  2565 (รวม   4    รายการ)</t>
  </si>
  <si>
    <t>65067048455 650614040898</t>
  </si>
  <si>
    <t xml:space="preserve">จัดซื้ออาหารเสริม (นม) เปิดเทอม ยูเอชที ชนิดกล่อง รสจืด ขนาด 200 ซีซี กล่องละ 7.82 บาท ภาคเรียนที่ 1/65 (17พ.ค.-2มิ.ย.65) = 13 วัน  และ นมพาเจอร์ไรส์ ชนิดถุง รสจืด ขนาด 200 ซีซี ถุงละ 6.58 บาท (6มิ.ย.-30ก.ย.65) = 82 วัน  รวม 95วัน รวม 1,004 คน </t>
  </si>
  <si>
    <t>บริษัทแมรี่ แอน แดรี่ โปรดักส์ จำกัด      โดยนายคำตา อดทน 123 หมู่ที่ 4           ต.สนามแย้ อ.ท่ามะกา จ.กาญจนบุรี 70190 โทร.085-1047184                      เลขประจำตัวผู้เสียภาษีอากร                   เลขที่ 0105542091554 (มี vat)</t>
  </si>
  <si>
    <t>65067049551 650614041092</t>
  </si>
  <si>
    <t>กองการศึกษา (ศพด.10 ศูนย์)</t>
  </si>
  <si>
    <t>กองการศึกษา (สพฐ.10 แห่ง)</t>
  </si>
  <si>
    <t xml:space="preserve">จัดซื้ออาหารเสริม (นม) เปิดเทอม ยูเอชที ชนิดกล่อง รสจืด ขนาด 200 ซีซี กล่องละ 7.82 บาท ภาคเรียนที่ 1/65 (17พ.ค.-2มิ.ย.65) = 13 วัน  และ นมพาเจอร์ไรส์ ชนิดถุง รสจืด ขนาด 200 ซีซี ถุงละ 6.58 บาท (6มิ.ย.-30ก.ย.65) = 82 วัน  รวม 95วัน รวม 321 คน </t>
  </si>
  <si>
    <t>65067030350 650614081811</t>
  </si>
  <si>
    <t>จ้างซ่อมแซมครุภัณฑ์ยานพาหนะ รถยนต์ส่วนกลาง ทะเบียน ผค 9902 อุดรธานี (สีขาว) รหัส 001-58-0006 รายการ -เปลี่ยนน้ำมันเครื่องและกรอง - - ใบปัดน้ำฝน - ล้างแอร์เปลี่ยนน้ำยาแอร์</t>
  </si>
  <si>
    <t>อู่สัมพันธ์การช่าง โดย นางอรนุช สุขปาน            เลขประจำตัวผู้เสียภาษี 5419900001572        ที่อยู่ 45/1 หมู่ที่ 8 ต.เพ็ญ อ.เพ็ญ จ.อุดรธานี โทร.092-9579734 (ไม่มี vat)</t>
  </si>
  <si>
    <t>รายได้ (เงินโอน)</t>
  </si>
  <si>
    <t>ประจำเดือน พฤษภาคม 2565 (รวม    10   รายการ)</t>
  </si>
  <si>
    <t>จัดซื้อวัสดุน้ำมันเชื้อเพลิงและหล่อลื่น         (13 มิ.ย. 65 - 30 ก.ย. 65)</t>
  </si>
  <si>
    <t>210/2565</t>
  </si>
  <si>
    <r>
      <t xml:space="preserve">นางละมัย เพ็งจันทร์ทา                            เลขประจำตัวประชาชน 3411900708257  </t>
    </r>
    <r>
      <rPr>
        <sz val="16"/>
        <color rgb="FFFF0000"/>
        <rFont val="TH SarabunPSK"/>
        <family val="2"/>
      </rPr>
      <t xml:space="preserve">   </t>
    </r>
    <r>
      <rPr>
        <sz val="16"/>
        <color theme="1"/>
        <rFont val="TH SarabunPSK"/>
        <family val="2"/>
      </rPr>
      <t xml:space="preserve">ที่อยู่ 285 หมู่ที่ 9 ต.บ้านธาตุ อ.เพ็ญ จ.อุดรธานี </t>
    </r>
  </si>
  <si>
    <r>
      <t xml:space="preserve">นางดวงจันทร์ ผ่องแผ่ว                            เลขประจำตัวประชาชน 3411900162424  </t>
    </r>
    <r>
      <rPr>
        <sz val="16"/>
        <color rgb="FFFF0000"/>
        <rFont val="TH SarabunPSK"/>
        <family val="2"/>
      </rPr>
      <t xml:space="preserve">   </t>
    </r>
    <r>
      <rPr>
        <sz val="16"/>
        <color theme="1"/>
        <rFont val="TH SarabunPSK"/>
        <family val="2"/>
      </rPr>
      <t xml:space="preserve">ที่อยู่ 167 หมู่ที่ 18 ต.บ้านธาตุ อ.เพ็ญ จ.อุดรธานี </t>
    </r>
  </si>
  <si>
    <r>
      <t xml:space="preserve">นายหมุน วรราช                               เลขประจำตัวประชาชน </t>
    </r>
    <r>
      <rPr>
        <sz val="16"/>
        <color rgb="FFFF0000"/>
        <rFont val="TH SarabunPSK"/>
        <family val="2"/>
      </rPr>
      <t xml:space="preserve">3411900162424  </t>
    </r>
    <r>
      <rPr>
        <sz val="16"/>
        <color theme="1"/>
        <rFont val="TH SarabunPSK"/>
        <family val="2"/>
      </rPr>
      <t xml:space="preserve">   ที่อยู่ 140 หมู่ที่ 11 ต.บ้านธาตุ อ.เพ็ญ จ.อุดรธานี </t>
    </r>
  </si>
  <si>
    <t xml:space="preserve">นายทองสา ชิณบุตร                                เลขประจำตัวประชาชน 3411900700809      ที่อยู่ 102 หมู่ที่ 14 ต.บ้านธาตุ อ.เพ็ญ จ.อุดรธานี  </t>
  </si>
  <si>
    <t>ลาออก      5 มิ.ย.65</t>
  </si>
  <si>
    <t>65067251098 650614253245</t>
  </si>
  <si>
    <t xml:space="preserve">จ้างซ่อมครุภัณฑ์คอมพิวเตอร์       จำนวน 1 เครื่อง เครื่องพิมพ์ Printer Epson L405 S/N 7898 รหัส 416-60-0100 </t>
  </si>
  <si>
    <t xml:space="preserve">รายได้ </t>
  </si>
  <si>
    <t>จ้างซ่อมยานพาหนะและขนส่ง ทะเบียน คจน.756 รหัสครุภัณฑ์  024-50-0004 จำนวน 1 คัน</t>
  </si>
  <si>
    <t xml:space="preserve">นายสุนทร เหมุทัย                                 เลขประจำตัวผู้เสียภาษี 3411900718350 ที่อยู่ 311 หมู่ 10 ต.บ้านธาตุ อ.เพ็ญ จ.อุดรธานี </t>
  </si>
  <si>
    <t xml:space="preserve">เลขประจำตัวประชาชน 3430100489754       ที่อยู่ 112 หมู่ที่ 11 ต.บ้านธาตุ อ.เพ็ญ จ.อุดรธานี </t>
  </si>
  <si>
    <t>นายพูลทรัพย์ ไตยถา                         เลขประจำตัวประชาชน 3430100489754      ที่อยู่ 112 หมู่ที่ 11 ต.บ้านธาตุ อ.เพ็ญ จ.อุดรธานี จำนวน 3 เดือนๆ ละ 9,000 บาท       (1ต.ค.-31 ธ.ค.64)</t>
  </si>
  <si>
    <t xml:space="preserve"> ร้าน@ป้าย โดย นายพรหมพันธ์ พรหมปู่        307 หมู่ที่ 11 ต.เพ็ญ อ.เพ็ญ จ.อุดรธานี            เลขประจำตัวประชาชน 3411900655005           (ไม่มี vat)</t>
  </si>
  <si>
    <t>65067373807 650614316504</t>
  </si>
  <si>
    <t xml:space="preserve">จัดซื้อวัสดุอื่นๆ  จำนวน 23 รายการ     </t>
  </si>
  <si>
    <t>หจก.พงษ์ภัคคอนกรีต (2012)                         โดยนายสุทธิพงษ์ มิ่งคำมี   บ้านโคกลาน 33 หมู่ 5 ต.เขือน้ำ อ.บ้านผือ จ.อุดรธานี   ทะเบียนนิติบุคคลเลขที่ 041356200243 จดทะเบียน 18 ก.ย.2562</t>
  </si>
  <si>
    <t>65067436576 650614355466</t>
  </si>
  <si>
    <t>จัดซื้อวัสดุคอมพิวเตอร์ 1.หมีก canon PG 790(BK)จำนวน 8 กล่องๆละ 390 บาท 2. canon PG(C) 790 จำนวน 8 กล่องๆละ 390 บาท 3. canon PG(M) 790 จำนวน 8 กล่องๆละ 390 บาท 4. canon PG(Y) 790 จำนวน 8 กล่องๆละ 390 บาท 5. หมึก HP LASERJETจำนวน 1 กล่องๆละ 2,790 บาท</t>
  </si>
  <si>
    <t>65067443510 650614361114</t>
  </si>
  <si>
    <t>จัดซื้อวัสดุอื่นๆ  1.สารส้มก้อนแบบขุ่น 177 ถุงๆละ 380 บาท 2.คลอรีนผง 65% ขนาดถัง 50 กิโลกรัม/ถังๆละ 3,100 บาท</t>
  </si>
  <si>
    <t>65067448218 650614367698</t>
  </si>
  <si>
    <t>จัดซื้อวัสดุอื่นๆ  - มิเตอร์น้ำ ขนาด 4 หุน จำนวน 100 ตัวๆละ 550 บาท</t>
  </si>
  <si>
    <t>ร้านไลลิน  โดย นายจีรวัฒน์ ยอดช้าง        24 หมู่ 18 ต.เชียงยืน อ..เมืองอุดรธานี จ.อุดรธานี ลขประจำตัวผู้เสียภาษี1410100216875 (ไม่มี vat)</t>
  </si>
  <si>
    <t>65067469026 650614388837</t>
  </si>
  <si>
    <t>จ้างซ่อมแซมยานพาหนะและขนส่ง รถยนต์ส่วนกลาง ทะเบียน กท 6620รหัสครุภัณฑ์  001-52-0003 1. แบตเตอรี่แห้ง 1 ลูกๆ 3,200 บาท 2.เปลี่ยนน้ำมันเครื่อง+กรอง 1 ชุดๆละ 1,400</t>
  </si>
  <si>
    <t>65067434280  650614391770</t>
  </si>
  <si>
    <t>65067439877 650614390934</t>
  </si>
  <si>
    <t>จ้างเหมาจัดทำป้ายไวนิล ขนาด 1.65x3 เมตร ตามโครงการส่งเสริมการอนุรักษ์ทรัพยากรธรรมชาติและสิ่งแวดล้อม ปีงบประมาณ 2565 จำนวน 1 ป้าย</t>
  </si>
  <si>
    <t>จัดซื้อวัสดุคอมพิวเตอร์ หมึกเติม Epson จำนวน 16 ขวดๆละ 300 บาท</t>
  </si>
  <si>
    <t>65067526346 650614430102</t>
  </si>
  <si>
    <t>65067532407 650614435291</t>
  </si>
  <si>
    <t>65067560181 650614458368</t>
  </si>
  <si>
    <t xml:space="preserve">จัดซื้อวัสดุก่อสร้าง ยางมะตอยสำเร็จรูป ขนาด 20 กิโลกรัม จำนวน 2,000 ถุง ๆ ละ 110 บาท          </t>
  </si>
  <si>
    <t xml:space="preserve"> ร้านวิน ยางมิกซ์                            โดย น.ส.สุดารัตน์ สุขปลั่ง                   9/5 หมู่ที่ 12 ต.สระลงเรือ อ.ห้วยกระเจา  จ.กาญจนบุรี 71210  เลขประจำตัวผู้เสียภาษี1700200061234 (ไม่มี vat)</t>
  </si>
  <si>
    <t>เงินโอน ครั้งที่ 13 ลว.16 มิ.ย.65</t>
  </si>
  <si>
    <t>211/2565</t>
  </si>
  <si>
    <t xml:space="preserve"> ร้านยุทธชัยเครื่องเย็น                          โดย นายทองหมุน ธาตุวิสัย                   183 หมู่ที่ 3 ต.บ้านธาตุ อ.เพ็ญ จ.อุดรธานี  เลขประจำตัวประชาชน 3411900178363</t>
  </si>
  <si>
    <t>บริษัทแมรี่ แอน แดรี่ โปรดักส์ จำกัด      โดยนายคำตา อดทน 123 หมู่ที่ 4           ต.สนามแย้ อ.ท่ามะกา จ.กาญจนบุรี 70190 โทร.085-1047184                   เลขประจำตัวผู้เสียภาษีอากร                   เลขที่ 0105542091554 (มี vat)</t>
  </si>
  <si>
    <t>65067560534 650614463841</t>
  </si>
  <si>
    <t>65067565602 650614466805</t>
  </si>
  <si>
    <t>จ้างเหมาเครื่องเสียงพร้อมอุปกรณ์ตามโครงการกำจัดผักตบชวาและวัชพืชคนคลองสวยน้ำใส</t>
  </si>
  <si>
    <t>นายภูวัน ขาวดี                                   เลขประจำตัวประชาชน 3411900178703        ที่อยู่ 254 หมู่ที่ 1 ต.เพ็ญ อ.เพ็ญ จ.อุดรธานี โทร.092-9579734 (ไม่มี vat)</t>
  </si>
  <si>
    <t>เกิน</t>
  </si>
  <si>
    <t>จ้างเหมาจดมาตรน้ำค่าน้ำประปา จำนวน 5 หมู่บ้าน ดังนี้ ม.1 จำนวน 243 ราย ม.10 จำนวน 118 ราย ม.14 จำนวน 174 ราย ม.18 จำนวน 176 ราย ม.20 จำนวน 117 ราย รวม 828 ราย เดือนละ 3,000 บาท จำนวน 6 เดือน (1 เม.ย.-30 ก.ย.65)</t>
  </si>
  <si>
    <t>212/2565</t>
  </si>
  <si>
    <t>ประจำเดือน  มิถุนายน  2565 (รวม    9   รายการ)</t>
  </si>
  <si>
    <t>งววด1=102,066.64 (2มิย65)</t>
  </si>
  <si>
    <t>งววด1=32,632.86  (2มิย65)</t>
  </si>
  <si>
    <t>ประจำเดือน เมษายน  2565 (รวม   68   รายการ)</t>
  </si>
  <si>
    <t>ประจำเดือน มิถุนายน  2565 (รวม   1   รายการ)</t>
  </si>
  <si>
    <t>ประจำเดือน กรกฎาคม  2565 (รวม       รายการ)</t>
  </si>
  <si>
    <t>ประจำเดือน มิถุนายน 2565 (รวม    8   รายการ)</t>
  </si>
  <si>
    <t>65067324247 650614264534</t>
  </si>
  <si>
    <t>65077035495 650714031341</t>
  </si>
  <si>
    <t xml:space="preserve">จัดซื้อวัสดุก่อสร้าง จำนวน 14 รายการ         </t>
  </si>
  <si>
    <t>ร้านพิพัฒน์ค้าไม้ โดย นายพิพัฒน์ ทัศพงษ์167 หมู่ 14 บ้านนาพูนทรัพย์ ต.บ้านธาตุ  อ.เพ็ญ   จ.อุดรธานี โทร. 091-7204494    เลขประจำตัวผู้เสียภาษี 3411900344859 (มี vat)</t>
  </si>
  <si>
    <t>65077043714 650714035418</t>
  </si>
  <si>
    <t>จัดซื้อวัสดุไฟฟ้าและวิทยุ จำนวน 33 รายการ</t>
  </si>
  <si>
    <t xml:space="preserve"> ร้าน@ป้ายดีไซน์ โดย นายพรหมพันธ์ พรหมปู่        307 หมู่ที่ 11 ต.เพ็ญ อ.เพ็ญ จ.อุดรธานี            เลขประจำตัวประชาชน 3411900655005           (ไม่มี vat)</t>
  </si>
  <si>
    <t>จ้างเหมาจัดทำป้ายไวนิล ขนาด 1.65x3 เมตร ตามโครงการกำจัดผักตบชวาและวัชพืชคืนคลองสวยน้ำใส ปีงบประมาณ 2565 ขนาด 1.65*3 เมตร ๆ ละ 120 บาท จำนวน 1 ป้าย</t>
  </si>
  <si>
    <t>จ้างเหมารถบรรทุกตามโครงการกำจัดผักตบชวาและวัชพืชคนคลองสวยน้ำใส ห้วยดู่ บ้านหมูม่น หมู่ที่ 7</t>
  </si>
  <si>
    <t>ประจำเดือนพฤษภาคม 2565 (จำนวน 1 รายการ)</t>
  </si>
  <si>
    <t>ประจำเดือนมิถุนายน 2565 (จำนวน 1 รายการ)</t>
  </si>
  <si>
    <t>แก้ไข เลขที่ใบสั่งจ้าง</t>
  </si>
  <si>
    <t>จัดซื้อวัสดุน้ำมันเชื้อเพลิงและหล่อลื่น         (1 ก.ค. 65 - 30 ก.ย. 65)</t>
  </si>
  <si>
    <t>ตามวงเงิน450,000 บาท</t>
  </si>
  <si>
    <t>65077138421 650714105967</t>
  </si>
  <si>
    <t>65077078920 650714060907</t>
  </si>
  <si>
    <t>จ้างซ่อมแซมยานพาหนะและขนส่ง รถยนต์ส่วนกลาง ทะเบียน นข 3603รหัสครุภัณฑ์  001-52-0002 1. แบตเตอรี่แห้ง 1 ลูกๆ 3,200 บาท 2.เปลี่ยนน้ำมันเครื่อง+กรอง 1 ชุดๆละ 1,400</t>
  </si>
  <si>
    <t>65077084982  650714064593</t>
  </si>
  <si>
    <t>ร้านอาณาจักรป้าย โดย นายปริวัตร วิทาโน         เลขประจำตัวประชาชน 1419900592365        ที่อยู่ 51 หมู่ที่ 13 ต.บ้านธาตุ อ.เพ็ญ จ.อุดรธานี  (ไม่มี vat)</t>
  </si>
  <si>
    <t>จ้างเหมาทำป้ายตามโครงการฝึกอบรมเชิงปฏิบัติการและพัฒนาบุคคลากรท้องถิ่น หลักสูตร "การบันทึกบัญชีของหน่วยงานภายใต้สังกัดของ อปท. สำหรับสถานศึกษา ฯ สำหรับปีงบประมาณ พ.ศ.2565 ขนาด 1.20x3.00 เมตร ๆ ละ 120 บาท จำนวน 1 ป้าย</t>
  </si>
  <si>
    <t>จ้างเหมาทำป้ายตามโครงการเฝ้าระวังป้องกันและควบคุมโรคไข้เลือดออก ปีงบประมาณ 2565 ขนาด 1.5x3.5 เมตร ๆ ละ 120 บาท จำนวน 1 ป้าย</t>
  </si>
  <si>
    <t>65077135719 650714104633</t>
  </si>
  <si>
    <t>จ้างเหมาทำแผ่นพับประชาสัมพันธ์ ตามโครงการเฝ้าระวังป้องกันและควบคุมโรคไข้เลือดออก ปีงบประมาณ 2565 จำนวน 5,000 แผ่นๆ ละ 2 บาท</t>
  </si>
  <si>
    <t>65077225323 650714177617</t>
  </si>
  <si>
    <t>65077227620 650714179864</t>
  </si>
  <si>
    <t>จ้างตกแต่งรถบุปผาชาติพร้อมประดับตกแต่งดอกไม้สดและผ้าประดับตาโครงการสืบสานประเพณีถวายเทียนพรรษา จำนวน 1 คัน</t>
  </si>
  <si>
    <t>นายสำนวน สุระคาย                                   เลขประจำตัวประชาชน 3411900157218        ที่อยู่ 243 หมู่ที่ 1 ต.บ้านธาตุ อ.เพ็ญ จ.อุดรธานี  (ไม่มี vat)</t>
  </si>
  <si>
    <t>จ้างเหมาทำป้ายตามโครงการสืบสานประเพณีถวายเทียนพรรษา  ขนาด 1.20x3.00 เมตร ๆ ละ 120 บาท จำนวน 1 ป้าย</t>
  </si>
  <si>
    <t>65077235612 650714187685</t>
  </si>
  <si>
    <t>ร้านรุ่งอรุณการค้า  โดย น.ส.พัชรา ศรีธัญ   153 หมู่ 18 ต.บ้านธาตุ  อ.เพhp จ.อุดรธานี เลขประจำตัวผู้เสียภาษีเลขที่ 1419901816909 (ไม่มี vat)</t>
  </si>
  <si>
    <t>จัดซื้อวัสดุตามโครงการสืบสานประเพณีถวายเทียนพรรษา จำนวน 5 รายการ</t>
  </si>
  <si>
    <t xml:space="preserve">จัดซื้อวัสดุตามโครงการสืบสานประเพณีถวายเทียนพรรษา1.ต้นเทียนแกะสลักขนาด12*120 ซม.1ต้นๆละ 2,700 บ. 2เชิงเทียนขาตั้งเทียนเบอร์12 จำนวน 1 ชิ้นๆละ 280บ. </t>
  </si>
  <si>
    <t xml:space="preserve"> 3.ต้นเทียนแกะสลัก ขนาด 9*90 ซม.2 ต้นๆละ 750 บ. 4.เชิงเทียนขาตั้งเทียน เบอร์9 2 ชิ้นๆละ 250 5.เครื่องอาบน้ำฝน ขนาด 1 ม.ยาว 2 ม. 1 ผืนๆละ 350 บ.</t>
  </si>
  <si>
    <t>255/2565</t>
  </si>
  <si>
    <t>จ้างเหมาบริการทำหน้าที่ผู้ปฏิบัติหน้าที่วิทยุสื่อสาร จำนวน 92 วัน (1 ก.ค.- 30ก.ย. 65) วันละ 315 บาท</t>
  </si>
  <si>
    <r>
      <t>นายอภิธรรม ธรรมประวัติ                         เลขประจำตัวประชาชน 1411900161685</t>
    </r>
    <r>
      <rPr>
        <sz val="16"/>
        <color rgb="FFFF0000"/>
        <rFont val="TH SarabunPSK"/>
        <family val="2"/>
      </rPr>
      <t xml:space="preserve">     </t>
    </r>
    <r>
      <rPr>
        <sz val="16"/>
        <color theme="1"/>
        <rFont val="TH SarabunPSK"/>
        <family val="2"/>
      </rPr>
      <t xml:space="preserve">ที่อยู่ 169 หมู่ที่ 5 ต.บ้านธาตุ อ.เพ็ญ จ.อุดรธานี  </t>
    </r>
  </si>
  <si>
    <t>โอน งปม.</t>
  </si>
  <si>
    <t>254/2565</t>
  </si>
  <si>
    <t>จ้างเหมาพนักงานขับรถกู้ชีพฉุกเฉิน จำนวน 92 วัน (1 ก.ค.- 30ก.ย. 65) วันละ 315 บาท</t>
  </si>
  <si>
    <t>จ้างเหมาคนงานประจำรถบรรทุกขยะมูลฝอย  (6 มิ.ย.-30 มิ.ย.65)</t>
  </si>
  <si>
    <t>249/2565</t>
  </si>
  <si>
    <t>242/2565</t>
  </si>
  <si>
    <t xml:space="preserve">จ้างเหมาคนงานประจำรถขยะมูลฝอย จำนวน 3 เดือนๆ ละ 9,000 บาท       (1ก.ค.- 30 ก.ย. 65) </t>
  </si>
  <si>
    <t>246/2565</t>
  </si>
  <si>
    <t xml:space="preserve">จ้างเหมาบริการคนงานประจำรถบรรทุกขยะ จำนวน 3 เดือนๆ ละ 9,000 บาท       (1ก.ค.- 30 ก.ย. 65) </t>
  </si>
  <si>
    <t>247/2565</t>
  </si>
  <si>
    <t>244/2565</t>
  </si>
  <si>
    <t>248/2565</t>
  </si>
  <si>
    <r>
      <t>นายประมวล โพนทุ้ย                              เลขประจำตัวประชาชน 3411900715873</t>
    </r>
    <r>
      <rPr>
        <sz val="16"/>
        <color rgb="FFFF0000"/>
        <rFont val="TH SarabunPSK"/>
        <family val="2"/>
      </rPr>
      <t xml:space="preserve">       </t>
    </r>
    <r>
      <rPr>
        <sz val="16"/>
        <color theme="1"/>
        <rFont val="TH SarabunPSK"/>
        <family val="2"/>
      </rPr>
      <t xml:space="preserve">ที่อยู่ 176 หมู่ที่ 11 ต.บ้านธาตุ อ.เพ็ญ จ.อุดรธานี </t>
    </r>
  </si>
  <si>
    <t>243/2565</t>
  </si>
  <si>
    <t xml:space="preserve">จ้างเหมาคนงานประจำรถขยะมูลฝอย จำนวน 3 เดือนๆ ละ 9,000 บาท       (1ก.ค.- 30 ก.ย. 65)  </t>
  </si>
  <si>
    <t>245/2565</t>
  </si>
  <si>
    <t>241/2565</t>
  </si>
  <si>
    <t xml:space="preserve">จ้างเหมาพนักงานขับรถบรรทุกขยะ จำนวน 3 เดือนๆ ละ 9,000 บาท       (1ก.ค.- 30 ก.ย. 65) </t>
  </si>
  <si>
    <t>240/2565</t>
  </si>
  <si>
    <t>253/2565</t>
  </si>
  <si>
    <t>จ้างเหมาบริการทำหน้าที่ผู้ปฏิบัติหน้าที่ด้านการแพทย์ฉุกเฉินเทศบาลตำบล  บ้านธาตุ จำนวน 92 วัน (1 ก.ค.- 30ก.ย. 65) วันละ 315 บาท</t>
  </si>
  <si>
    <t>250/2565</t>
  </si>
  <si>
    <t>251/2565</t>
  </si>
  <si>
    <t>252/2565</t>
  </si>
  <si>
    <t xml:space="preserve">จ้างเหมาบริการบันทึกข้อมูลและช่วยปฏิบัติงานด้านสาธารณสุขและสิ่งแวดล้อม  จำนวน 3 เดือนๆ ละ 9,000 บาท       (1ก.ค.- 30 ก.ย. 65) </t>
  </si>
  <si>
    <t>238/2565</t>
  </si>
  <si>
    <t xml:space="preserve">จ้างเหมาบริการงานผู้ปฏิบัติหน้าที่ดูแลด้านนิติกร                              จำนวน 3 เดือนๆ ละ 9,000 บาท       (1ก.ค.- 30 ก.ย. 65) </t>
  </si>
  <si>
    <t>239/2565</t>
  </si>
  <si>
    <t xml:space="preserve">จ้างเหมาบริการงานผู้ปฏิบัติหน้าที่ดูแลระบบสารสนเทศและการสื่อสาร    บันทึกข้อมูล                           จำนวน 3 เดือนๆ ละ 9,000 บาท       (1ก.ค.- 30 ก.ย. 65) </t>
  </si>
  <si>
    <t>237/2565</t>
  </si>
  <si>
    <t xml:space="preserve">จ้างเหมาคนงานเฝ้าสถานีสูบน้ำด้วยไฟฟ้าบ้านดอนแก้ว หมู่ที่ 6               จำนวน 3 เดือนๆ ละ 9,000 บาท       (1ก.ค.- 30 ก.ย. 65) </t>
  </si>
  <si>
    <t>222/2565</t>
  </si>
  <si>
    <t xml:space="preserve">จ้างเหมาคนงานดูแลระบบน้ำประปา บ้านโพน หมู่ที่ 4                    จำนวน 3 เดือนๆ ละ 9,000 บาท       (1ก.ค.- 30 ก.ย. 65) </t>
  </si>
  <si>
    <t>223/2565</t>
  </si>
  <si>
    <t xml:space="preserve">จ้างเหมาคนงานดูแลระบบน้ำประปา บ้านนาคอม หมู่ที่ 3                  จำนวน 3 เดือนๆ ละ 9,000 บาท       (1ก.ค.- 30 ก.ย. 65) </t>
  </si>
  <si>
    <t>220/2565</t>
  </si>
  <si>
    <t xml:space="preserve">จ้างเหมาคนงานช่วยบันทึกข้อมูล จำนวน 3 เดือนๆ ละ 9,000 บาท       (1ก.ค.- 30 ก.ย. 65) </t>
  </si>
  <si>
    <t xml:space="preserve">นางสาวภคนันท์  บูราณรมณ์                      เลขประจำตัวประชาชน 1101800530517        ที่อยู่ 231 หมู่ที่ 7 ต.บ้านธาตุ อ.เพ็ญ จ.อุดรธานี </t>
  </si>
  <si>
    <t>221/2565</t>
  </si>
  <si>
    <t xml:space="preserve">จ้างเหมาคนงานขับรถตักหน้าขุดหลัง จำนวน 3 เดือนๆ ละ 9,000 บาท       (1ก.ค.- 30 ก.ย. 65) </t>
  </si>
  <si>
    <t>224/2565</t>
  </si>
  <si>
    <t xml:space="preserve">จ้างเหมาบริการคนงานดูแลระบบน้ำผลิตน้ำประปาบ้านสังซา หมู่ที่ 8       จำนวน 3 เดือนๆ ละ 9,000 บาท       (1ก.ค.- 30 ก.ย. 65) </t>
  </si>
  <si>
    <t>225/2565</t>
  </si>
  <si>
    <t xml:space="preserve">จ้างเหมาคนงานดูแลระบบน้ำประปา บ้านโนนสมบูรณ์ หมู่ที่ 15                จำนวน 3 เดือนๆ ละ 9,000 บาท       (1ก.ค.- 30 ก.ย. 65) </t>
  </si>
  <si>
    <t>226/2565</t>
  </si>
  <si>
    <t>227/2565</t>
  </si>
  <si>
    <t xml:space="preserve">จ้างเหมาบริการคนงานดูแลระบบผลิตน้ำประปา บ้านนาดอกไม้ จำนวน 3 เดือนๆ ละ 9,000 บาท  (1ก.ค.- 30 ก.ย. 65) </t>
  </si>
  <si>
    <t xml:space="preserve">จ้างเหมาบริการคนงานดูแลระบบผลิตน้ำประปา บ้านนิคม จำนวน 3 เดือนๆ ละ 9,000 บาท  (1ก.ค.- 30 ก.ย. 65) </t>
  </si>
  <si>
    <t>229/2565</t>
  </si>
  <si>
    <t xml:space="preserve">จ้างเหมาคนงานดูแลระบบน้ำประปา บ้านนาพูนทรัพย์ หมู่ที่ 14                จำนวน 3 เดือนๆ ละ 9,000 บาท  (1ก.ค.- 30 ก.ย. 65) </t>
  </si>
  <si>
    <t>230/2565</t>
  </si>
  <si>
    <t xml:space="preserve">จ้างเหมาคนงานดูแลระบบผลิตน้ำประปา บ้านหมูม่น หมู่ที่ 7            จำนวน 3 เดือนๆ ละ 9,000 บาท  (1ก.ค.- 30 ก.ย. 65) </t>
  </si>
  <si>
    <t>231/2565</t>
  </si>
  <si>
    <t>232/2565</t>
  </si>
  <si>
    <t xml:space="preserve">จ้างเหมาคนงานดูแลระบบไฟฟ้าสาธารณะและระบบประปาภายในบริเวณเขตเทศบาลตำบลบ้านธาตุ              จำนวน 3 เดือนๆ ละ 9,000 บาท  (1ก.ค.- 30 ก.ย. 65) </t>
  </si>
  <si>
    <t>233/2565</t>
  </si>
  <si>
    <t xml:space="preserve">จ้างเหมาคนงานดูแลระบบน้ำประปา บ้านธาตุ หมู่ที่ 10                     จำนวน 3 เดือนๆ ละ 9,000 บาท  (1ก.ค.- 30 ก.ย. 65) </t>
  </si>
  <si>
    <t>234/2565</t>
  </si>
  <si>
    <t xml:space="preserve">จ้างเหมาบริการพนักงานรถบรรทุกติดตั้งเครนไฮโรดิก จำนวน 3 เดือนๆ ละ 9,000 บาท  (1ก.ค.- 30 ก.ย. 65) </t>
  </si>
  <si>
    <t>235/2565</t>
  </si>
  <si>
    <t>จ้างเหมาคนงานเฝ้าสถานีสูบน้ำด้วยไฟฟ้าบ้านนาคอม (หัวภูดิน) หมู่ที่ 3 จำนวน 3 เดือนๆ ละ 9,000 บาท  (1ก.ค.- 30 ก.ย. 65)</t>
  </si>
  <si>
    <t>236/2565</t>
  </si>
  <si>
    <t>จ้างเหมาคนงานดูแลระบบน้ำประปา บ้านถิ่น หมู่ที่ 5                       จำนวน 3 เดือนๆ ละ 9,000 บาท  (1ก.ค.- 30 ก.ย. 65)</t>
  </si>
  <si>
    <t>213/2565</t>
  </si>
  <si>
    <t xml:space="preserve">จ้างเหมาคนงานทั่วไปปฏิบัติงานใน   ศูนย์พันาเด็กเล็กบ้านนาพูนทรัพย์ จำนวน 3 เดือนๆละ 9,000 บาท       (1ก.ค.- 30 ก.ย. 65) </t>
  </si>
  <si>
    <t xml:space="preserve">จ้างเหมาบริการคนงานทั่วไปปฏิบัติงานแผนงานและการปฎิบัติงานด้านอื่นๆ   เดือนละ 9,000 บาท  จำนวน 3 เดือน (1ก.ค.- 30 ก.ย. 65) </t>
  </si>
  <si>
    <t>214/2565</t>
  </si>
  <si>
    <t xml:space="preserve">จ้างเหมาคนงานทั่วไปปฏิบัติงานใน   ศูนย์พันาเด็กเล็กวัดบำเพ็ญสมญานุกูลจำนวน 3 เดือนๆละ 9,000 บาท          (1ก.ค.- 30 ก.ย. 65) </t>
  </si>
  <si>
    <t>215/2565</t>
  </si>
  <si>
    <t xml:space="preserve">จ้างเหมาคนงานทั่วไปปฏิบัติงานใน   ศูนย์พันาเด็กเล็กบ้านนาคอมนาดอกไม้ จำนวน 3 เดือนๆละ 9,000 บาท          (1ก.ค.- 30 ก.ย. 65) </t>
  </si>
  <si>
    <t>216/2565</t>
  </si>
  <si>
    <t xml:space="preserve">จ้างเหมาคนงานทั่วไปปฏิบัติงานในศูนย์พันาเด็กเล็ก บ้านนาคอมนาดอกไม้ จำนวน 3 เดือนๆละ 9,000 บาท          (1ก.ค.- 30 ก.ย. 65) </t>
  </si>
  <si>
    <t>217/2565</t>
  </si>
  <si>
    <t xml:space="preserve">จ้างเหมาคนงานทั่วไปปฏิบัติงานใน   ศูนย์พันาเด็กเล็กโรงเรียนหมูม่นโพนสว่าง จำนวน 3 เดือนๆละ 9,000 บาท        (1ก.ค.- 30 ก.ย. 65) </t>
  </si>
  <si>
    <t>218/2565</t>
  </si>
  <si>
    <t xml:space="preserve">จ้างเหมาคนงานทั่วไปปฏิบัติงานใน   ศูนย์พันาเด็กเล็กวัดบุญสวาท         จำนวน 3 เดือนๆ ละ 9,000 บาท        (1ก.ค.- 30 ก.ย. 65) </t>
  </si>
  <si>
    <t>219/2565</t>
  </si>
  <si>
    <t>262/2565</t>
  </si>
  <si>
    <t xml:space="preserve">จ้างเหมาบริการบันทึกข้อมูลและช่วยปฏิบัติงานด้านสาธารณสุขและสิ่งแวดล้อม จำนวน 3 เดือนๆ ละ 9,000 บาท        (1ก.ค.- 30 ก.ย. 65) </t>
  </si>
  <si>
    <t>260/2565</t>
  </si>
  <si>
    <t xml:space="preserve">จ้างเหมาบริการบันทึกข้อมูลและช่วยปฏิบัติงานด้านสาธารณสุขและสิ่งแวดล้อมจำนวน 3 เดือนๆ ละ 9,000 บาท  (1ก.ค.- 30 ก.ย. 65) </t>
  </si>
  <si>
    <t xml:space="preserve">จ้างเหมาบริการบันทึกข้อมูลและช่วยปฏิบัติงานด้านสาธารณสุขและสิ่งแวดล้อม จำนวน 3 เดือนๆ ละ 9,000 บาท   (1ก.ค.- 30 ก.ย. 65) </t>
  </si>
  <si>
    <t>261/2565</t>
  </si>
  <si>
    <t>259/2565</t>
  </si>
  <si>
    <t>258/2565</t>
  </si>
  <si>
    <t xml:space="preserve">จ้างเหมาบริการบันทึกข้อมูลและช่วยปฏิบัติงานด้านสาธารณสุขแลสิ่งแวดล้อมจำนวน 3 เดือนๆ ละ 9,000 บาท       (1ก.ค.- 30 ก.ย. 65) </t>
  </si>
  <si>
    <t xml:space="preserve">จ้างเหมาคนงานบันทึกข้อมูลและช่วยปฏิบัติงานด้านธุรการกองสาธารณสุขและสิ่งแวดล้อม จำนวน 3 เดือนๆ ละ 9,000 บาท  (1ก.ค.- 30 ก.ย. 65) </t>
  </si>
  <si>
    <t>จ้างเหมาบริการบันทึกข้อมูลและช่วยปฏิบัติงานด้านกองทุนสุขภาพเทศบาลตำบลบ้านธาตุ จำนวน 3 เดือนๆ ละ 9,000 บาท (1ก.ค.- 30 ก.ย. 65)</t>
  </si>
  <si>
    <r>
      <t>น.ส.เดือนเพ็ญ สุระวิชัย                            เลขประจำตัวประชาชน 1411900165508</t>
    </r>
    <r>
      <rPr>
        <sz val="16"/>
        <color rgb="FFFF0000"/>
        <rFont val="TH SarabunPSK"/>
        <family val="2"/>
      </rPr>
      <t xml:space="preserve">        </t>
    </r>
    <r>
      <rPr>
        <sz val="16"/>
        <color theme="1"/>
        <rFont val="TH SarabunPSK"/>
        <family val="2"/>
      </rPr>
      <t xml:space="preserve">ที่อยู่ 97 หมู่ที่ 4ต.บ้านธาตุ อ.เพ็ญ จ.อุดรธานี </t>
    </r>
  </si>
  <si>
    <t>257/2565</t>
  </si>
  <si>
    <t>256/2565</t>
  </si>
  <si>
    <t>จ้างเหมาพนักงานขับรถยนต์กู้ชีพฉุกเฉิน จำนวน 92 วัน (1 ก.ค.- 30ก.ย. 65) วันละ 315 บาท</t>
  </si>
  <si>
    <t>จัดซื้อวัสดุน้ำมันเชื้อเพลิงและหล่อลื่น ตามโครงการเฝ้าระวัง ป้องกันและควบคุโรคไข้เลือดออกในเขตเทศบาลตำบลบ้านธาตุ ประจำปีงบประมาณ 2565 จำนวนน้ำมันดีเซล 33,000 บาท จำนวนน้ำมันเบนซิล 8,400 บาท</t>
  </si>
  <si>
    <t>1 - 27 ส.ค.65</t>
  </si>
  <si>
    <t>65077440270 650714352313</t>
  </si>
  <si>
    <t xml:space="preserve">จ้างซ่อมครุภัณฑ์คอมพิวเตอร์ (ครื่องคอมพิวเตอร์) จำนวน 1 เครื่อง รหัส 416-52-0019 </t>
  </si>
  <si>
    <t>228/2565</t>
  </si>
  <si>
    <t xml:space="preserve">จ้างเหมาบริการคนงานตัดแต่งต้นไม้พร้อมเก็บขนภายในเขต ทต.บ้านธาตุ จำนวน 6 งวด (1ก.ค.- 30 ก.ย. 65) </t>
  </si>
  <si>
    <t>65077514116 650714409970</t>
  </si>
  <si>
    <t>ซื้อครุภัณฑ์การเกษตร (ปั๊มหอยโข่ง ขนาด 3 แรง 2 นิ้ว หน้าแปลน) จำนวน 5 ตัว ๆ ละ 11,000 บาท รหัสครุภัณฑ์ 070-65-0001-0005</t>
  </si>
  <si>
    <t>ประจำเดือน  กรกฎาคม  2565 (รวม   6    รายการ)</t>
  </si>
  <si>
    <t>263/2565</t>
  </si>
  <si>
    <t xml:space="preserve">จ้างเหมาบริการทำหน้าที่ผู้ปฏิบัติหน้าที่ด้านการแพทย์ฉุกเฉินเทศบาลตำบลบ้านธาตุ จำนวน 3 เดือนๆ ละ 9,000 บาท       (1ก.ค.- 30 ก.ย. 65) </t>
  </si>
  <si>
    <t>65087007802 650814013135</t>
  </si>
  <si>
    <t>จ้างจัดทำวิดีทัศน์ประชาสัมพันธ์ตำบลบ้านธาตุ</t>
  </si>
  <si>
    <t>นายมงคล โสมนัส                                    25 ม.10 ต.ค่ายบกหวาน อ.เมืองหนองคาย จ.หนองคาย เลขประจำตัวผู้เสียภาษี 3430100805532</t>
  </si>
  <si>
    <t>65087034220 650814037957</t>
  </si>
  <si>
    <t>จ้างทำป้ายทำเนียบการดำรงตำแหน่งผู้บริหารและปลัด อปท. ขนาด 115x65 ซม. กรอบหลุยส์ พื้นไม้อัดสี พร้อมติดตั้ง จำนวน 1 ป้าย</t>
  </si>
  <si>
    <t>ร้านไอเดียป้าย                                      โดย น.ส.กุสุมา อุปพงษ์                             144 ม.5  ต.มีชัย อ.เมืองหนองคาย จ.หนองคาย    เลขประจำตัวผู้เสียภาษี 3349900586583</t>
  </si>
  <si>
    <t>ประจำเดือน กรกฎาคม 2565 (รวม     7    รายการ)</t>
  </si>
  <si>
    <t>ประจำเดือนกรกฎาคม 2565 (จำนวน 1 รายการ)</t>
  </si>
  <si>
    <t>จัดซื้อวัสดุ (-น้ำยาเคมี น้ำยาพ่นหมอกควัน 1% ขนาดบรรจุ 1 ลิตร/ขวด จำนวน 48 ขวด ๆ ละ 1,000 บาท -ทรายอะเบทแบบซองชา ขนาด 200 กรัม/ซอง จำนวน 20 ถัง ๆ ละ 2,500 บาท     (ถังละ 1,250 ซอง) ตามโครงการเฝ้าระวังป้องกันและควบคุมโรคไข้เลือดออก ปีงบประมาณ 2565</t>
  </si>
  <si>
    <t>65087110732 650814154934</t>
  </si>
  <si>
    <t>บริษัทไทยพิพัฒน์ทูล แอนด์ โฮมมาร์ท จำกัด          โดย นายปิยะ แก่นศักดิ์ศิริ                           555/5  ม.7  ต.หนองบัว อ.เมืองอุดรธานี        จ.อุดรธานี    เลขประจำตัวผู้เสียภาษี 0415547000317</t>
  </si>
  <si>
    <t>65087248748 650814213351</t>
  </si>
  <si>
    <t>จ้างซ่อมแซมครุภัณฑ์ก่อสร้าง เครื่องสกัด (เครื่องแย็ก) เลขครุภัณฑ์ 059-54-0003 จำนวน 1 เครื่อง</t>
  </si>
  <si>
    <t>จ้างซ่อมแซมครุภัณฑ์คอมพิวเตอร์ (เครื่องคอมพิวเตอร์) ลงระบปฏิบัติการรหัสครุภัณฑ์ 416-63-0112 จำนวน 1 เครื่อง</t>
  </si>
  <si>
    <t>65087262504 650814217760</t>
  </si>
  <si>
    <t>จ้างซ่อมแซมครุภัณฑ์คอมพิวเตอร์      1.เครื่องพิมพ์  รหัสครุภัณฑ์ 416-63-0141 กองการศึกษา          2.เครื่องพิมพ์  รหัสครุภัณฑ์ 416-63-0144 ศพด.วัดบุญสวาท    รวมจำนวน 2 เครื่อง</t>
  </si>
  <si>
    <t>65087436651 650814361771</t>
  </si>
  <si>
    <t>65087453507 650814377964</t>
  </si>
  <si>
    <t xml:space="preserve">จัดซื้อวัสดุงานบ้านงานครัว  ศพด.จำนวน 10 ศูนย์   </t>
  </si>
  <si>
    <t>65087477121 650814394845</t>
  </si>
  <si>
    <t>65087449274 650814372052</t>
  </si>
  <si>
    <t xml:space="preserve">จัดซื้อวัสดุสำนักงาน จำนวน 13 รายการ    </t>
  </si>
  <si>
    <t xml:space="preserve">จัดซื้อวัสดุงานบ้านงานครัว  จำนวน 6 รายการ   </t>
  </si>
  <si>
    <t>65087442045 650814365902</t>
  </si>
  <si>
    <t xml:space="preserve">จัดซื้อวัสดุสำนักงาน จำนวน 11 รายการ    </t>
  </si>
  <si>
    <t>จัดซื้ออาหารเสริม (นม) (ปิดเทอม) ยูเอชที ชนิดกล่อง รสจืด ขนาด 200 ซีซี ราคากล่องละ 7.82 บาท/กล่อง ภาคเรียนที่ 2/64  (เม.ย.65 จำนวน 21 วัน) (พ.ค.65 จำนวน 10 วัน) รวมทั้งสิ้น 31 วัน  จำนวนทั้งสิ้น 956 คน สำหรับ โรงเรียน สพฐ.จำนวน 10 โรงเรียน</t>
  </si>
  <si>
    <t>65087542484 650814450085</t>
  </si>
  <si>
    <t xml:space="preserve">จ้างเหมาซ่อมแซมโครงการปรับปรุงสำนักงานเทศบาลตำลบ้านธาตุ โดยปรับปรุงห้องรองปลัดเทศบาล </t>
  </si>
  <si>
    <t>หจก.อนันต์ อินทิแสงเจริญทรัพย์                  โดย นายอนันต์ อินทิแสงเจริญทรัพย์                65 หมู่ 9 ต.โพนสว่าง อ.เมืองหนองคาย จ.หนองคาย โทร.087-9505843  เลขประจำตัวผู้เสียภาษี 0433565000402</t>
  </si>
  <si>
    <t>65087540421 650814447441</t>
  </si>
  <si>
    <t xml:space="preserve">จัดซื้อวัสดุสำรวจ (บันไดอะลูมิเนียม ทรงA 7 ชั้น)  จำนวน 2 ตัว ๆ ละ 2,500 บาท   </t>
  </si>
  <si>
    <t>65087547824 650814453413</t>
  </si>
  <si>
    <t>65087562571 650814497238</t>
  </si>
  <si>
    <t>จ้างซ่อมแซมศูนย์พัฒนาเด็กเล็กบ้านนิคมสงเคราะห์ 4 ตามรายละเอียดใบสรุปปริมาณราคาเทศบาลตำบลบ้านธาตุ</t>
  </si>
  <si>
    <t>หจก.ไข่ทองคำ ร่ำรวยทรัพย์                       57 หมู่ 7 ต.นาพู่ อ.เพ็ญ จ.อุดรธานี                  โทร.085-9258575  เลขประจำตัวผู้เสียภาษี 0413564003548</t>
  </si>
  <si>
    <t>65087544193 650814450058</t>
  </si>
  <si>
    <t xml:space="preserve">จัดซื้อวัสดุเครื่องแต่งกาย จำนวน 2 รายการ     1.รองเท้าบูท จำนวน 1 โหลๆ ละ 2,500 บาท   2. ถุงมือผ้าเคลือบ จำนวน 36 คู่ ๆ ละ 60 บาท   </t>
  </si>
  <si>
    <t>65087547572 650814453232</t>
  </si>
  <si>
    <t>จัดซื้อวัสดุยานพาหนะและขนส่ง จำนวน 4 รายการ 1.กุญแจบล็อก จำนวน 1 ชุดๆ ละ 2,290 บาท 2. กุญแจปากตาย จำนวน 1 ชุด ๆ ละ 1,150 บาท  3.น้ำกลั่น จำนวน 3 โหลๆละ 220 บาท 4.ถังน้ำมัน 200 ลิตร จำนวน 2 ใบๆละ 950 บาท</t>
  </si>
  <si>
    <t>65087573171 650814474459</t>
  </si>
  <si>
    <t xml:space="preserve">จัดซื้อครุภัณฑ์การเกษตร จำนวน 1 รายการ      -ซับเมิร์ส ขนาด 1.5 แรงม้า จำนวน 5 ตัวๆ ละ 17,500 บาท </t>
  </si>
  <si>
    <t>ร้าน จ.เจริญภัณฑ์                              โดย นางรัชนี ปัจฉิมบุตร                 567/3 หมู่ 1 ถนน ทหาร  ต.หมากแข้ง     อ.เมืองอุดรธานี จ.อุดรธานี                     โทร.042-111250 เลขประจำตัวผู้เสียภาษี3411900536499 (ไม่มี vat)</t>
  </si>
  <si>
    <t>65087576904 650814477580</t>
  </si>
  <si>
    <t xml:space="preserve">จัดซื้อวัสดุยานพาหนะและขนส่ง จำนวน 1 รายการ -แบตเตอรี่ 12 V 110 จำนวน 1 ลูกๆ ละ 3,200 บาท </t>
  </si>
  <si>
    <t>บริษัทโชคดีการยางอุดร                        โดย นางผุสดี ปิติคำพร                      425 หมู่ 7 ถนนอุดร-หนองคาย ต.หนองบัว อ.เมืองอุดรธานี จ.อุดรธานี                 โทร.042-248750 เลขประจำตัวผู้เสียภาษี 0415558001557</t>
  </si>
  <si>
    <t>จ้างเหมาคนงานตัดหญ้าและดูแลตัดแต่งต้นไม้พร้อมเก็บขน                   จำนวน 3 เดือนๆ ละ 9,000 บาท       (1ก.ค.- 30 ก.ย. 65)</t>
  </si>
  <si>
    <t xml:space="preserve">จ้างเหมาคนงานทั่วไปปฏิบัติงานใน   ศูนย์พันาเด็กเล็กโรงเรียนบ้านดอนแก้ว จำนวน 3 เดือนๆ ละ 9,000 บาท        (1ก.ค.- 30 ก.ย. 65) </t>
  </si>
  <si>
    <t xml:space="preserve">น.ส.ภาวิลัย ธรรมเมืองคุณ                         เลขประจำตัวประชาชน 1411901320582     ที่อยู่ 181 หมู่ที่ 6 ต.บ้านธาตุ อ.เพ็ญ จ.อุดรธานี </t>
  </si>
  <si>
    <t xml:space="preserve">นางสาวช่อผกา ธาตุไพบูลย์                       เลขประจำตัวประชาชน 1411900269851      ที่อยู่ 255 หมู่ที่ 18 ต.บ้านธาตุ อ.เพ็ญ จ.อุดรธานี </t>
  </si>
  <si>
    <t>65087718474 650814602539</t>
  </si>
  <si>
    <t>จัดซื้อวัสดุคอมพิวเตอร์ จำนวน 9 รายการ (หมีกพิมพ์  EPSON , สาย VG ขนาดความยาว 10 เมตร</t>
  </si>
  <si>
    <t>65087733132 650814611356</t>
  </si>
  <si>
    <t>จัดซื้อวัสดุอื่นๆ (มิเตอร์น้ำ ขนาด 4 หุน) จำนวน 100 ตัวๆ ละ 550 บาท</t>
  </si>
  <si>
    <t>ร้านโชติกา  โดย นางโชติกา เหลาเกลี้ยงดี   25/71 หมู่ 8 ต.สะแบง อ.หนองหาน จ.อุดรธานี โทร.081-8729996              เลขประจำตัวผู้เสียภาษี 3410600961703 (ไม่มี vat)</t>
  </si>
  <si>
    <t>5/65 (1 ก.ค.65-30 ก.ย.65)</t>
  </si>
  <si>
    <t>4/65 (1 พ.ค.65-30 ก.ย.65)</t>
  </si>
  <si>
    <t>ประจำเดือน กันยายน  2565 (รวม        รายการ)</t>
  </si>
  <si>
    <t>65097099362 650914103499</t>
  </si>
  <si>
    <t>ประจำเดือน กันยายน 2565 (รวม         รายการ)</t>
  </si>
  <si>
    <t>จ้างซ่อมแซมรถตักหน้าขุดหลัง ทะเบียน ตฆ-9346 อุดรธานี รหัสครุภัณฑ์ 011-60-0001 จำนวน 9 รายการ</t>
  </si>
  <si>
    <t>นายสำเนียง เชื้อตาพระ                              104 หมู่ 1 ต.หนองนาคำ อ.เมืองอุดรธานี          จ.อุดรธานี  โทร.084-9788091  เลขประจำตัวผู้เสียภาษี 3410101584271 (ไม่มี vat)</t>
  </si>
  <si>
    <t>65097118707 650914101346</t>
  </si>
  <si>
    <t xml:space="preserve">จัดวัสดุก่อสร้าง (ยางมะตอยสำเร็จรูป) จำนวน 1,800 ถุงๆละ 110 บาท </t>
  </si>
  <si>
    <t>นายสุนทร ใจยง                                 6 หมู่ 12 ต.สระลงเรือ อ.ห้วยกระเจา     จ.กาญจนบุรี โทร.084-3155961, 082-2921062, 086-0470612              เลขประจำตัวผู้เสียภาษี 1711000016287 (ไม่มี vat)</t>
  </si>
  <si>
    <t>โอนครั้งที่ 21 ลว.25 ส.ค.65</t>
  </si>
  <si>
    <t>65097125259 650914108151</t>
  </si>
  <si>
    <t xml:space="preserve">จัดวัสดุอื่นๆ จำนวน 2 ราย ดังนี้ 1.สารส้มแบบก้อน     25 ก.ก./ถุง จำนวน 200 ถุงๆละ 380 บาท                   2. คลอรีนแบบผง 6% จำนวน 6 ถังๆละ 3,700 บาท </t>
  </si>
  <si>
    <t>65097155084 650914130658</t>
  </si>
  <si>
    <t xml:space="preserve">จัดซื้อครุภัณฑ์คอมพิวเตอร์ 1เครื่องปริ้นเตอร์ จำนวน 1 เครื่องๆละ 7,500 บาท </t>
  </si>
  <si>
    <t>65097162954 650914138089</t>
  </si>
  <si>
    <t>จัดซื้อวัสดุก่อสร้าง จำนวน 2 รายการ ดังนี้      1.ท่อคอนกรีตอัดแรง ขนาด 0.30 เมตร จำนวน 120 ท่อนๆละ 280 บาท 2.ท่อคอนกรีตอัดแรง ขนาด 0.40 เมตร จำนวน 40 ท่อนๆละ 380 บาท</t>
  </si>
  <si>
    <t>หจก.พงศ์เจริญคอนกรีต คอนสตรัคชั่น                 โดยนายประพันธ์ชัย มั่งมูล    377 หมู่ 1 ต.สุมเส้า อ.เพ็ญ    จ.อุดรธานี ทะเบียนนิติบุคคลเลขที่ 0413560000137     จดทะเบียน 5 ม.ค.2560       (มี vat)</t>
  </si>
  <si>
    <t xml:space="preserve">แบบเสนอญัตติ วันที่ 19 ส.ค.65 </t>
  </si>
  <si>
    <t>ประจำเดือน  สิงหาคม  2565 (รวม    13    รายการ)</t>
  </si>
  <si>
    <t>จ้างเหมาถ่ายเอกสารร่างเทศบัญญัติ ปีงบประมาณ 2566 จำนวน 170 ชุดๆละ 25 บาท</t>
  </si>
  <si>
    <t>ประจำเดือน สิงหาคม 2565 (รวม   8    รายการ)</t>
  </si>
  <si>
    <t>65097173933 650914147205</t>
  </si>
  <si>
    <t>65097178183 650914149632</t>
  </si>
  <si>
    <t xml:space="preserve">จัดซื้ออาหารเสริม (นม) (ปิดเทอม) ยูเอชที ชนิดกล่อง รสจืด ขนาด 200 ซีซี ราคากล่องละ 7.82 บาท/กล่อง สำหรับโรงเรียนชั้นอนุบาล-ประถมศึกษา สพฐ. จำนวน 10 โรงเรียน ประจำปีการศึกษา 2565 ให้ครบ 260 วัน จำนวนนักเรียน 985 คน จำนวน 20 วัน </t>
  </si>
  <si>
    <t xml:space="preserve">จัดซื้ออาหารเสริม (นม) (ปิดเทอม) ยูเอชที ชนิดกล่อง รสจืด ขนาด 200 ซีซี ราคากล่องละ 7.82 บาท/กล่อง สำหรับ ศพด.สังกัด อปท. จำนวน 10 โรงเรียน ประจำปีการศึกษา 2565 ให้ครบ 260 วัน จำนวนนักเรียน 323 คน จำนวน 20 วัน </t>
  </si>
  <si>
    <t>65097198381 650914168502</t>
  </si>
  <si>
    <t>จ้างซ่อมแซมครุภัณฑ์คอมพิวเตอร์ (เครื่องคอมพิวเตอร์ตั้งโต๊ะ HP Prodesk 400 G7 S/N 1SP7 ) ลงระบปฏิบัติการรหัสครุภัณฑ์ 416-64-0004 จำนวน 1 เครื่อง</t>
  </si>
  <si>
    <r>
      <t xml:space="preserve">จัดซื้อครุภัณฑ์สำนักงาน เครื่องปรับอากาศแบบแยกส่วน ชนิดติดผนัง (มีระบบฟอกอากาศ) ขนาด 24,000 บีทียู จำนวน 2 เครื่อง ๆ ละ 26,400 บาท ค่าติดตั้งเครื่องละ 3,000 บาท       รหัสครุภัณฑ์ </t>
    </r>
    <r>
      <rPr>
        <sz val="16"/>
        <color rgb="FFFF0000"/>
        <rFont val="TH SarabunPSK"/>
        <family val="2"/>
      </rPr>
      <t>420-65-0002, รหัสครุภัณฑ์ 420-65-0003</t>
    </r>
  </si>
  <si>
    <t>(ศพด.ร.ร.บ้านดอนแก้ว)</t>
  </si>
  <si>
    <t>65097473882 650914405652</t>
  </si>
  <si>
    <t>จ้างซ่อมแซมครุภัณฑ์ยานพาหนะและขนส่ง รถกระเช้า ทะเบียน 83-4724 อุดรธานี รหัสครุภัณฑ์ 012-55-0001 จำนวน 1 คัน</t>
  </si>
  <si>
    <t>ค้างค่าอากร</t>
  </si>
  <si>
    <t>65097472757 650914396499</t>
  </si>
  <si>
    <t>จัดซื้อวัสดุงานบ้านงานครัว จำนวน 5 รายการ</t>
  </si>
  <si>
    <t>โรงกลึง เค พี พี แมชชี ซ็อป                        โดย นายคงเดช ชมภูธร                             168 หมู่ 13 ต.เพ็ญ อ.เพ็ญ จ.อุดรธานี          เลขประจำตัวผู้เสียภาษี 3411900007691       (ไม่มี vat)</t>
  </si>
  <si>
    <t>พูนทรัพย์การค้า                              โดยนายอุดมศักดิ์ ปัจฉิมบุตร                 567 หมู่ที่ 1ถนนเลี่ยงเมือง ต.หมากแข้ง  อ.เมืองอุดรธานี จ.อุดรธานี โทร.096-7301785เลขประจำตัวผู้เสียภาษีอากร   เลขที่ 6410101907738 (ไม่มี vat)</t>
  </si>
  <si>
    <t>6509747676149 650914404853</t>
  </si>
  <si>
    <t>จัดซื้อวัสดุคอมพิวเตอร์ จำนวน 4 รายการ (หมึกเครื่องพิมพ์)</t>
  </si>
  <si>
    <t>โรส ก๊อปปี้ เซ็นเตอร์                            โดยนางสาวนันทภัทร ใจธรรม               55/3 หมู่ที่ 5 ต.บ้านเลื่อม  อ.เมืองอุดรธานี จ.อุดรธานี โทร.085-6476655           เลขประจำตัวผู้เสียภาษีอากร   2410400004235 (ไม่มี vat)</t>
  </si>
  <si>
    <t>โอนครั้งที่ 22 ลว.6 ก.ย.65</t>
  </si>
  <si>
    <t>65097510085 650914426970</t>
  </si>
  <si>
    <t xml:space="preserve">จัดซื้อวัสดุอื่นๆ (วัสดุประปา) จำนวน 6 รายการ </t>
  </si>
  <si>
    <t>ร้านพิพัฒน์ค้าไม้                            โดย นายพิพัฒน์  ทัศพงษ์                      167 หมู่ที่ 14 ต.บ้านธาตุ  อ.เพ็ญ จ.อุดรธานี โทร.095-6644287           เลขประจำตัวผู้เสียภาษีอากร   3411900344859 (มี vat)</t>
  </si>
  <si>
    <t>65097516914 650914433101</t>
  </si>
  <si>
    <t xml:space="preserve">จัดซื้อวัสดุไฟฟ้าและวิทยุ จำนวน 12 รายการ </t>
  </si>
  <si>
    <t>หจก.รวมภัณฑ์ วิศวกรรม                    โดย นางสุมาลี ปิ่นวริชย์กุล            969/18 หมู่ 7 ถนนรอบเมือง ต.หมากแข้ง    อ.เมืองอุดรธานี จ.อุดรธานี                โทร.042-247896 เลขประจำตัวผู้เสียภาษีเลขที่ 0413541000577 (มี vat)</t>
  </si>
  <si>
    <t>65097571076 650914478550</t>
  </si>
  <si>
    <t xml:space="preserve">จัดซื้อวัสดุอื่น ๆ (วัสดุประปา) จำนวน 19 รายการ </t>
  </si>
  <si>
    <t>65097574409 650914481277</t>
  </si>
  <si>
    <t xml:space="preserve">จัดซื้อวัสดุสำนักงาน จำนวน 4 รายการ </t>
  </si>
  <si>
    <t>โอนครั้งที่ 22 ลว.25 ก.ย.65</t>
  </si>
  <si>
    <t>65097590747 650914494643</t>
  </si>
  <si>
    <t>จ้างเหมาถ่ายเอกสารเทศบัญญัติ ปีงบประมาณ 2566 จำนวน 40 เล่มๆละ 390 บาท</t>
  </si>
  <si>
    <t>ร้านรุ่งรัตน์  โดย นายสิรดนัย ยางศรี            4/12 ถนนเบญจางค์ ต.หมากแข้ง อ.เมืองอุดรธานี จ.อุดรธานี                                          เลขประจำตัวผู้เสียภาษี 1419901990518</t>
  </si>
  <si>
    <t xml:space="preserve">ซื้อวัสดุน้ำมันเชื้อเพลิงและหล่อลื่นตามโครงการขอรับสนับสนุนเครื่องจักรกลองค์การบริหารส่วนจังหวัดอุดรธานี ประจำปีงบประมาณ 2565 ระหว่างวันที่ 11 ส.ค. - 26 ก.ย. 2565 จำนวน 4,750 ลิตร </t>
  </si>
  <si>
    <t>เบิกจ่ายจริง 619 ลิตร จำนวนเงิน 169,024.99 บาท</t>
  </si>
  <si>
    <t>1/2566</t>
  </si>
  <si>
    <t>โครงการก่อสร้างถนนคอนกรีตเสริมเหล็กบ้านวังน้ำขาว หมู่ที่ 19 (จากบ้านวังน้ำขาว ถึงถนนเพ็ญ-บ้านด่าน)</t>
  </si>
  <si>
    <t>กำหนดแล้วเสร็จ</t>
  </si>
  <si>
    <t>90 วัน</t>
  </si>
  <si>
    <t>10 ต.ค.65 -18 ต.ค.65</t>
  </si>
  <si>
    <t>ที่ประกาศ</t>
  </si>
  <si>
    <t>เงินกู้จังหวัด</t>
  </si>
  <si>
    <t>e-bidding</t>
  </si>
  <si>
    <t>2/2566</t>
  </si>
  <si>
    <t>โครงการก่อสร้างถนนคอนกรีตเสริมเหล็กบ้านนาพูนทรัพย์ หมู่ที่ 14 (จากบ้านนาพูนทรัพย์ ถึงถนนเพ็ญ-บ้านด่าน)</t>
  </si>
  <si>
    <t>ประจำปีงบประมาณ พ.ศ.2566</t>
  </si>
  <si>
    <t>3/2566</t>
  </si>
  <si>
    <t>เงินอุดหนุนเฉพาะกิจ</t>
  </si>
  <si>
    <t>4/2566</t>
  </si>
  <si>
    <t>5/2566</t>
  </si>
  <si>
    <t>6/2566</t>
  </si>
  <si>
    <t>7/2566</t>
  </si>
  <si>
    <t>8/2566</t>
  </si>
  <si>
    <t>9/2566</t>
  </si>
  <si>
    <t>10/2566</t>
  </si>
  <si>
    <t>โครงการก่อสร้างพัฒนาแหล่งท่องเที่ยว หนองศรีเจริญ โดยก่อสร้างถนนคอนกรีตเสริมเหล็กรอบหนองศรีเจริญ</t>
  </si>
  <si>
    <t xml:space="preserve"> 120 วัน</t>
  </si>
  <si>
    <t>31 ต.ค.65-16 พ.ย.65</t>
  </si>
  <si>
    <t>31 ต.ค.65-21 พ.ย.65</t>
  </si>
  <si>
    <t>โครงการก่อสร้างถนนคอนกรีตเสริมเหล็ก สายบ้านสังซา หมู่ที่ 8 ถึงถนนเพ็ญ-บ้านด่าน ตำบลบ้านธาตุ</t>
  </si>
  <si>
    <t>120 วัน</t>
  </si>
  <si>
    <t>โครงการขุดลอกหนองหญ้าม้า บ้านโนนสะอาด หมู่ที่ 16</t>
  </si>
  <si>
    <t>ทะเบียนคุมประกาศจัดซื้อจัดจ้าง</t>
  </si>
  <si>
    <t>11 ม.ค.66-26 ม.ค.66</t>
  </si>
  <si>
    <t>11/2566</t>
  </si>
  <si>
    <t>12/2566</t>
  </si>
  <si>
    <t>13/2566</t>
  </si>
  <si>
    <t>14/2566</t>
  </si>
  <si>
    <t>30 มี.ค.66-10มี.ค.66</t>
  </si>
  <si>
    <t>โครงการก่อสร้างถนนคอนกรีตเสริมเหล็กภายในหมู่บ้าน บ้านโนนสะอาด หมู่ที่16 (จากบ้านนายอุ่น  ธาตุมี ถึงบ้านนางวารี คำผาสุข)</t>
  </si>
  <si>
    <t>22 ส.ค.-30 ส.ค.66</t>
  </si>
  <si>
    <t>โครงการพัฒนาแหล่งท่องเที่ยวหนองศรีเจริญ โดยก่อสร้างถนนคอนกรีตเสริมเหล็กรอบหนองศรีเจริญ</t>
  </si>
  <si>
    <t>เลขที่โครงการ</t>
  </si>
  <si>
    <t>โครงการก่อสร้างขุดลอกหนองบ่อเกลือ บ้านโพน หมู่ที่ 4</t>
  </si>
  <si>
    <t>โครงการก่อสร้างถนนคอนกรีตเสริมเหล็กภายในหมู่บ้าน บ้านนาดอกไม้ หมู่ที่ 11 (จากบ้านนาดอกไม้- บ้านจอมตาล)</t>
  </si>
  <si>
    <t>60 วัน</t>
  </si>
  <si>
    <t>โครงการก่อสร้างรางระบายน้ำคอนกรีตเสริมเหล็ก บ้านธาตุ หมู่ที่ 1 (จากถนนนาพูนทรัพย์-โนนคำ ถึง้านนายสุบรร หนูกลาง)</t>
  </si>
  <si>
    <t>24 ส.ค.-1 ก.ย.66</t>
  </si>
  <si>
    <t>18 ก.ย..-26 ก.ย.66</t>
  </si>
  <si>
    <t>โครงการก่อสร้างรางระบายน้ำคอนกรีตเสริมเหล็กแบบรางยูภายในหมู่บ้าน บ้านสังซา หมู่ที่ ๘ (จากบ้านนางอรัญ ธาตุไพบูลย์ ถึงบ้านนายพนม อุดมเพ็ญ)</t>
  </si>
  <si>
    <t>โครงการก่อสร้างรางระบายน้ำคอนกรีตเสริมเหล็กแบบรางยูภายในหมู่บ้าน บ้านดอนแก้ว หมู่ที่ ๖ (จากศาลา SML ถึงครัวคุณอนันต์ ช่วงบ้านนายโชคชัย ธาตุวิสัย ถึงบ้านนายเฉลา วังพรม)</t>
  </si>
  <si>
    <t xml:space="preserve">โครงการก่อสร้างรางระบายน้ำคอนกรีตเสริมเหล็กแบบรางยูภายในหมู่บ้าน บ้านยามกาใหญ่ หมู่ที่ ๒ (จากบ้านนายประพันธ์ รามฤทธิ์ ถึงบ้านนางทองแดง สุบรรณ์) </t>
  </si>
  <si>
    <t>เฉพาะเจาะจง</t>
  </si>
  <si>
    <t>ประจำปีงบประมาณ พ.ศ.2567  ณ  วันที่ 31  มีนาคม  2567</t>
  </si>
  <si>
    <t>ปีงบประมาณ</t>
  </si>
  <si>
    <t>กระทรวง</t>
  </si>
  <si>
    <t>อำเภอ</t>
  </si>
  <si>
    <t>จังหวัด</t>
  </si>
  <si>
    <t>งานที่ซื้อหรือจ้าง</t>
  </si>
  <si>
    <t>ที่ได้รับจัดสรร</t>
  </si>
  <si>
    <t>แหลงที่มาของ</t>
  </si>
  <si>
    <t>รายงานการจัดซื้อจัดจ้างหรือการจัดหาพัสดุ</t>
  </si>
  <si>
    <t>ช่วงเวลาที่คาดว่า</t>
  </si>
  <si>
    <t>จะเริ่มดำเนินการ</t>
  </si>
  <si>
    <t>องค์กรปกครองส่วนท้องถิ่น</t>
  </si>
  <si>
    <t>กระทรวงมหาดไทย</t>
  </si>
  <si>
    <t>เทศบาลตำบลบ้านธาตุ</t>
  </si>
  <si>
    <t>ชื่อหน่วยงาน</t>
  </si>
  <si>
    <t>ประเภทหน่วยงาน</t>
  </si>
  <si>
    <t>เพ็ญ</t>
  </si>
  <si>
    <t>อุดรธานี</t>
  </si>
  <si>
    <t>วิธีการที่จะดำเนินการ</t>
  </si>
  <si>
    <t>จัดซื้อจัดจ้าง</t>
  </si>
  <si>
    <t>ครุภัณฑ์คอมพิวเตอร์  เครื่องพิมพ์ชนิด Dot Maatrix Printer แบบแคร่สั้น   จำนวน 1  เครื่อง (กองคลัง)</t>
  </si>
  <si>
    <t>ครุภัณฑ์คอมพิวเตอร์  เครื่องคอมพิวเตอร์โน้ตบุ๊ค สำหรับงานประมวลผล  จำนวน 1  เครื่อง (งานตรวจสอบภายใน)</t>
  </si>
  <si>
    <t>ครุภัณฑ์สำนักงาน ตู้เหล็ก ชนิด 20 ช่อง จำนวน 2 หลัง (กองคลัง)</t>
  </si>
  <si>
    <t>ครุภัณฑ์คอมพิวเตอร์  เครื่องคอมพิวเตอร์All In One สำหรับประมวลผล   จำนวน 3  เครื่อง (กองคลัง)</t>
  </si>
  <si>
    <t>ครุภัณฑ์สำนักงาน  เก้าอี้สำนักงานสำหรับผู้บริหาร จำนวน 1  ตัว (กองคลัง)</t>
  </si>
  <si>
    <t>ครุภัณฑ์สำนักงาน  เก้าอี้สำนักงาน จำนวน 4 ตัว (กองคลัง)</t>
  </si>
  <si>
    <t>ครุภัณฑ์สำนักงาน  ตู้เหล็ก ชนิด 2 บาน มอก.จำนวน 2 หลัง (กองคลัง)</t>
  </si>
  <si>
    <t>ครุภัณฑ์สำนักงาน จัดซื้อเครื่องปรับอากาศ แบบติดผนัง(ระบบ Inverter) ขนาด 18,000บีทียู  จำนวน 8 ตัว (กองการศึกษา)</t>
  </si>
  <si>
    <t>ครุภัณฑ์สำนักงาน จัดซื้อรถเข็นของ  จำนวน 6 คัน (กองสาธารณสุขและสิ่งแวดล้อม)</t>
  </si>
  <si>
    <t>ครุภัณฑ์สำนักงาน จัดซื้อเครื่องพ่นหมอกควัน จำนวน 2 เครื่อง (กองสาธารณสุขและสิ่งแวดล้อม)</t>
  </si>
  <si>
    <t>ครุภัณฑ์ไฟฟ้าและวิทยุ จัดซื้อเครื่องรับ - ส่ง วิทยุระบบ VHM/FM จำนวน 1 เครื่อง (กองสาธารณสุขและสิ่งแวดล้อม)</t>
  </si>
  <si>
    <t>ครุภัณฑ์การเกษตร  จัดซื้อเครื่องสูบน้ำใต้ดิน(ซัมเมิส) ขนาดมอเตอร์ 1.0 แรงม้า ขนาดท่อส่งน้ำ 1.1/4นิ้ว พร้อมตู้ควบคุมการทำงาน จำนวน 5 เครื่อง(กองช่าง)</t>
  </si>
  <si>
    <t>ครุภัณฑ์การเกษตร  จัดซื้อเครื่องสูบน้ำแบบหอยโข่ง มอเตอร์ไฟฟ้า สูบน้ำได้ 450 ลิตรต่อนาที ใช้มอเตอร์ไฟฟ้า ขนาดท่อส่งไม่น้อยกว่า 2 นิ้ว (50มิลลิลิตร) จำนวน 5 ชุด(กองช่าง)</t>
  </si>
  <si>
    <t>ค่าที่ดินและสิ่งก่อสร้าง  โครงกาก่อสร้างถนน คอนกรีตเสริมเหล็กบ้านธาตุ หมู่ที่ 1 (จากบ้านธาตุหมู่ที่ 1 ถึงถนนนิคมเพ็ญ - โรงสับไม้) (กองช่าง)</t>
  </si>
  <si>
    <t>ค่าที่ดินและสิ่งก่อสร้าง  โครงการก่อสร้างถนนคอนกรีตเสริมเหล็กภายในหมู่บ้านบ้านดอนแก้ว หมู่ที่ 6 (จากบ้านนางฉวีวรรณ  ศรีสมรักษ์ถึงบ้านนายทองม้วน บุญญาหาร)  (กองช่าง)</t>
  </si>
  <si>
    <t>ค่าที่ดินและสิ่งก่อสร้าง  โครงการก่อสร้างถนนคอนกรีตเสริมเหล็กภายในหมู่บ้านบ้านถิ่น หมู่ที่ 5 (จากถนนมิตรภาพบ้านครูบัวเกศ  ถึงถนนนิคมตัดใหม่) (เส้นหลังวัดคริสต์) (กองช่าง)</t>
  </si>
  <si>
    <t>ค่าที่ดินและสิ่งก่อสร้าง  โครงการก่อสร้างถนนคอนกรีตเสริมเหล็กภายในหมู่บ้าน บ้านธาตุ หมู่ที่ 1 (จากบ้านนายถาวร  พรมโสภา  ถึงบ้านนางละอองดาว บุญประเสริฐ)  (กองช่าง)</t>
  </si>
  <si>
    <t>ค่าที่ดินและสิ่งก่อสร้าง  โครงการก่อสร้างถนนคอนกรีตเสริมเหล็กภายในหมู่บ้าน บ้านธาตุ หมู่ที่ 10 (จากถนนแยกวัดป่าเรไรย์ ถึงหนองศรีเจริญ)  (กองช่าง)</t>
  </si>
  <si>
    <t>ค่าที่ดินและสิ่งก่อสร้าง  โครงการก่อสร้างถนนคอนกรีตเสริมเหล็กภายในหมู่บ้าน บ้านนิคม หมู่ที่ 13    จากบ้านนายอรุณ  โพนหลวงถึงร้านรับซื้อของเก่า)         (กองช่าง)</t>
  </si>
  <si>
    <t>ค่าที่ดินและสิ่งก่อสร้าง  โครงการก่อสร้างถนนคอนกรีตเสริมเหล็กภายในหมู่บ้าน บ้านนาพูนทรัพย์ หมู่ที่ 14 (จากบ้านนางบุญจันทร์  เศรษฐา  ถึงนานายชัยณรงค์ ขารพ)  (กองช่าง)</t>
  </si>
  <si>
    <t>ค่าที่ดินและสิ่งก่อสร้าง  โครงการก่อสร้างถนนคอนกรีตเสริมเหล็กภายในหมู่บ้าน บ้านโนนสมบูรณ์ หมู่ที่ 15    (จากบ้านนายยิ่งเจริญ  เหมุทัยถึงถนนในหมู่บ้าน)     (กองช่าง)</t>
  </si>
  <si>
    <t>ค่าที่ดินและสิ่งก่อสร้าง  โครงการก่อสร้างถนนคอนกรีตเสริมเหล็กภายในหมู่บ้าน บ้านโนนสะอาด หมู่ที่ 16    (จากบ้านนายสงคราม  จันทรดีถึงโรงปุ๋ยนางวารี  คำผาสุข)     (กองช่าง)</t>
  </si>
  <si>
    <t>ค่าที่ดินและสิ่งก่อสร้าง  โครงการก่อสร้างถนนคอนกรีตเสริมเหล็กภายในหมู่บ้าน บ้านยามกาน้อย หมู่ที่ 9    (จากถนนสายเพ็ญ-ตำบลจอมศรี ถึงวัดผมไผวราราม)     (กองช่าง)</t>
  </si>
  <si>
    <t>ค่าที่ดินและสิ่งก่อสร้าง  โครงการก่อสร้างถนนคอนกรีตเสริมเหล็กภายในหมู่บ้าน บ้านวังน้ำขาว หมู่ที่ 19    (จากบ้านวังน้ำขาวถึงบ้านสังซา)     (กองช่าง)</t>
  </si>
  <si>
    <t>ค่าที่ดินและสิ่งก่อสร้าง  โครงการก่อสร้างถนนคอนกรีตเสริมเหล็กภายในหมู่บ้าน บ้านสังซา หมู่ที่ 8  (จากบ้านนางสุนารี  ธาตุไพบูลย์ถึงนายนิคม  พลโยธี)     (กองช่าง)</t>
  </si>
  <si>
    <t>ค่าที่ดินและสิ่งก่อสร้าง  โครงการก่อสร้างถนนคอนกรีตเสริมเหล็กภายในหมู่บ้าน บ้านสังซา หมู่ที่ 8 (จากบ้านนายบุญมี  หัสดีถึงบ้านนายพิชัย  ภูนามิน)  (กองช่าง)</t>
  </si>
  <si>
    <t>ค่าที่ดินและสิ่งก่อสร้าง  โครงการก่อสร้างถนนคอนกรีตเสริมเหล็กภายในหมู่บ้าน บ้านสุขา หมู่ที่ 12 (จากหอถังประปา ถึงบ้านนางละมัย  ทุมมานอก)  (กองช่าง)</t>
  </si>
  <si>
    <t>ค่าที่ดินและสิ่งก่อสร้าง  โครงการก่อสร้างรางระบายน้ำคอนกรีตเสริมเหล็กแบบรางยูภายในหมู่บ้าน บ้านธาตุ หมู่ที่  18 (จากหน้าบ้านนายเสงี่ยม  ธาตุไชย)  (กองช่าง)</t>
  </si>
  <si>
    <t>ค่าที่ดินและสิ่งก่อสร้าง  โครงการก่อสร้างรางระบายน้ำคอนกรีตเสริมเหล็กแบบรางยูภายในหมู่บ้าน บ้านธาตุ หมู่ที่  18 (จากบ้านนายเลิศ  แนวหาญ)  (กองช่าง)</t>
  </si>
  <si>
    <t>ค่าที่ดินและสิ่งก่อสร้าง  โครงการก่อสร้างรางระบายน้ำคอนกรีตเสริมเหล็กแบบรางยูภายในหมู่บ้าน บ้านธาตุศรีเจริญ หมู่ที่  20 (บริเวณท้ายบ้าน)  (กองช่าง)</t>
  </si>
  <si>
    <t>ค่าที่ดินและสิ่งก่อสร้าง  โครงการก่อสร้างรางระบายน้ำคอนกรีตเสริมเหล็กแบบรางยูภายในหมู่บ้าน บ้านนาดอกไม้  หมู่ที่ 11 (จากบ้านนายหมุน  วรราช  ถึงสามแยกถนนลาดยาง)(ป้อม อปพร.)  (กองช่าง)</t>
  </si>
  <si>
    <t>ค่าที่ดินและสิ่งก่อสร้าง  โครงการก่อสร้างรางระบายน้ำคอนกรีตเสริมเหล็กแบบรางยูภายในหมู่บ้าน  บ้านโนนคำ หมู่ที่ 17 (จากบ้านเสถียร  กาหลงถึงบ้านนายชูโชติ  อุไร)  (กองช่าง)</t>
  </si>
  <si>
    <t>ค่าที่ดินและสิ่งก่อสร้าง  โครงการก่อสร้างรางระบายน้ำคอนกรีตเสริมเหล็กแบบรางยูภายในหมู่บ้าน  บ้านยามกาใหญ่ หมู่ที่ 2 (จากบ้านนายวานิช  หาระคุณถึงลำน้ำเพ็ญ)  (กองช่าง)</t>
  </si>
  <si>
    <t>ค่าที่ดินและสิ่งก่อสร้าง  โครงการก่อสร้างรางระบายน้ำคอนกรีตเสริมเหล็กแบบรางยูภายในหมู่บ้าน  บ้านหมูม่น หมู่ที่ 7 (จากบ้านนางเฉลิมศรี  สาตาระ ถึงสี่แยกบ้านนางถวิลห่อ  เอาหานัด)  (กองช่าง)</t>
  </si>
  <si>
    <t>ค่าที่ดินและสิ่งก่อสร้าง  โครงการก่อสร้างรางระบายน้ำคอนกรีตเสริมเหล็กแบบรางยูภายในหมู่บ้าน  บ้านนาคอม หมู่ที่ 3 (จากนายกอง สุมงคลถึงถนนหน้าโรงเรียนบ้านนาคอม-นาดอกไม้)  (กองช่าง)</t>
  </si>
  <si>
    <t>ค่าที่ดินและสิ่งก่อสร้าง โครงการปรับระดับผิวทางแอสฟัลท์ติกคอนกรีต บ้านโพน หมู่ที่ 4  (กองช่าง)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</si>
</sst>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107041E]d\ mmm\ yy;@"/>
    <numFmt numFmtId="166" formatCode="[$-D07041E]d\ mmm\ yy;@"/>
    <numFmt numFmtId="167" formatCode="[$-D07041E]\t#,##0.00"/>
    <numFmt numFmtId="168" formatCode="0_ ;\-0\ "/>
    <numFmt numFmtId="169" formatCode="#,##0.00_ ;\-#,##0.00\ "/>
    <numFmt numFmtId="170" formatCode="0;[Red]0"/>
  </numFmts>
  <fonts count="33">
    <font>
      <sz val="11"/>
      <color theme="1"/>
      <name val="Calibri"/>
      <family val="2"/>
      <charset val="222"/>
      <scheme val="minor"/>
    </font>
    <font>
      <sz val="11"/>
      <color theme="1"/>
      <name val="Calibri"/>
      <family val="2"/>
      <charset val="222"/>
      <scheme val="minor"/>
    </font>
    <font>
      <b/>
      <sz val="18"/>
      <color theme="1"/>
      <name val="TH SarabunPSK"/>
      <family val="2"/>
    </font>
    <font>
      <sz val="16"/>
      <color theme="1"/>
      <name val="TH SarabunPSK"/>
      <family val="2"/>
    </font>
    <font>
      <b/>
      <sz val="14"/>
      <color theme="1"/>
      <name val="TH SarabunPSK"/>
      <family val="2"/>
    </font>
    <font>
      <sz val="14"/>
      <color theme="1"/>
      <name val="TH SarabunPSK"/>
      <family val="2"/>
    </font>
    <font>
      <b/>
      <sz val="16"/>
      <color theme="1"/>
      <name val="TH SarabunPSK"/>
      <family val="2"/>
    </font>
    <font>
      <sz val="16"/>
      <color rgb="FFFF0000"/>
      <name val="TH SarabunPSK"/>
      <family val="2"/>
    </font>
    <font>
      <sz val="8"/>
      <name val="Calibri"/>
      <family val="2"/>
      <charset val="222"/>
      <scheme val="minor"/>
    </font>
    <font>
      <b/>
      <sz val="16"/>
      <color rgb="FFFF0000"/>
      <name val="TH SarabunPSK"/>
      <family val="2"/>
    </font>
    <font>
      <sz val="12"/>
      <color theme="1"/>
      <name val="TH SarabunPSK"/>
      <family val="2"/>
    </font>
    <font>
      <sz val="13"/>
      <color theme="1"/>
      <name val="TH SarabunPSK"/>
      <family val="2"/>
    </font>
    <font>
      <sz val="15"/>
      <color theme="1"/>
      <name val="TH SarabunPSK"/>
      <family val="2"/>
    </font>
    <font>
      <sz val="14"/>
      <color rgb="FFFF0000"/>
      <name val="TH SarabunPSK"/>
      <family val="2"/>
    </font>
    <font>
      <sz val="12"/>
      <color rgb="FFFF0000"/>
      <name val="TH SarabunPSK"/>
      <family val="2"/>
    </font>
    <font>
      <b/>
      <sz val="16"/>
      <name val="TH SarabunPSK"/>
      <family val="2"/>
    </font>
    <font>
      <sz val="16"/>
      <color rgb="FFC00000"/>
      <name val="TH SarabunPSK"/>
      <family val="2"/>
    </font>
    <font>
      <sz val="14"/>
      <color rgb="FFC00000"/>
      <name val="TH SarabunPSK"/>
      <family val="2"/>
    </font>
    <font>
      <b/>
      <sz val="16"/>
      <color rgb="FFC00000"/>
      <name val="TH SarabunPSK"/>
      <family val="2"/>
    </font>
    <font>
      <sz val="16"/>
      <name val="TH SarabunPSK"/>
      <family val="2"/>
    </font>
    <font>
      <sz val="14"/>
      <name val="TH SarabunPSK"/>
      <family val="2"/>
    </font>
    <font>
      <sz val="12"/>
      <name val="TH SarabunPSK"/>
      <family val="2"/>
    </font>
    <font>
      <sz val="30"/>
      <color rgb="FFFF0000"/>
      <name val="TH SarabunPSK"/>
      <family val="2"/>
    </font>
    <font>
      <sz val="50"/>
      <color rgb="FFFF0000"/>
      <name val="TH SarabunPSK"/>
      <family val="2"/>
    </font>
    <font>
      <sz val="13"/>
      <color rgb="FFFF0000"/>
      <name val="TH SarabunPSK"/>
      <family val="2"/>
    </font>
    <font>
      <u val="singleAccounting"/>
      <sz val="16"/>
      <color theme="1"/>
      <name val="TH SarabunPSK"/>
      <family val="2"/>
    </font>
    <font>
      <b/>
      <u val="singleAccounting"/>
      <sz val="16"/>
      <color theme="1"/>
      <name val="TH SarabunPSK"/>
      <family val="2"/>
    </font>
    <font>
      <sz val="15"/>
      <color rgb="FF000000"/>
      <name val="TH SarabunPSK"/>
      <family val="2"/>
    </font>
    <font>
      <sz val="16"/>
      <color theme="1"/>
      <name val="TH SarabunIT๙"/>
      <family val="2"/>
    </font>
    <font>
      <sz val="16"/>
      <color rgb="FF660066"/>
      <name val="TH Sarabun New"/>
      <family val="2"/>
    </font>
    <font>
      <sz val="14"/>
      <color theme="1"/>
      <name val="Cordia New"/>
      <family val="2"/>
      <charset val="222"/>
    </font>
    <font>
      <sz val="12"/>
      <color rgb="FF000000"/>
      <name val="TH SarabunPSK"/>
      <family val="2"/>
    </font>
    <font>
      <sz val="16"/>
      <name val="TH Sarabun New"/>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auto="1"/>
      </left>
      <right style="thin">
        <color auto="1"/>
      </right>
      <top/>
      <bottom style="hair">
        <color auto="1"/>
      </bottom>
      <diagonal/>
    </border>
    <border>
      <left/>
      <right/>
      <top/>
      <bottom style="hair">
        <color indexed="64"/>
      </bottom>
      <diagonal/>
    </border>
    <border>
      <left/>
      <right/>
      <top style="hair">
        <color indexed="64"/>
      </top>
      <bottom style="hair">
        <color indexed="64"/>
      </bottom>
      <diagonal/>
    </border>
    <border>
      <left/>
      <right style="thin">
        <color auto="1"/>
      </right>
      <top style="hair">
        <color auto="1"/>
      </top>
      <bottom style="hair">
        <color auto="1"/>
      </bottom>
      <diagonal/>
    </border>
    <border>
      <left/>
      <right style="thin">
        <color auto="1"/>
      </right>
      <top style="hair">
        <color auto="1"/>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top/>
      <bottom/>
      <diagonal/>
    </border>
    <border>
      <left style="thin">
        <color indexed="64"/>
      </left>
      <right/>
      <top/>
      <bottom style="hair">
        <color indexed="64"/>
      </bottom>
      <diagonal/>
    </border>
    <border>
      <left style="thin">
        <color auto="1"/>
      </left>
      <right style="thin">
        <color auto="1"/>
      </right>
      <top/>
      <bottom/>
      <diagonal/>
    </border>
    <border>
      <left/>
      <right style="thin">
        <color auto="1"/>
      </right>
      <top style="hair">
        <color auto="1"/>
      </top>
      <bottom/>
      <diagonal/>
    </border>
    <border>
      <left/>
      <right style="thin">
        <color auto="1"/>
      </right>
      <top/>
      <bottom style="hair">
        <color auto="1"/>
      </bottom>
      <diagonal/>
    </border>
    <border>
      <left/>
      <right style="thin">
        <color auto="1"/>
      </right>
      <top/>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569">
    <xf numFmtId="0" fontId="0" fillId="0" borderId="0" xfId="0"/>
    <xf numFmtId="164" fontId="3" fillId="0" borderId="0" xfId="1" applyNumberFormat="1" applyFont="1" applyAlignment="1">
      <alignment shrinkToFit="1"/>
    </xf>
    <xf numFmtId="164" fontId="6" fillId="0" borderId="6" xfId="1" applyNumberFormat="1" applyFont="1" applyBorder="1" applyAlignment="1">
      <alignment horizontal="center" shrinkToFit="1"/>
    </xf>
    <xf numFmtId="164" fontId="4" fillId="0" borderId="1" xfId="1" applyNumberFormat="1" applyFont="1" applyBorder="1" applyAlignment="1">
      <alignment horizontal="center" shrinkToFit="1"/>
    </xf>
    <xf numFmtId="164" fontId="4" fillId="0" borderId="0" xfId="1" applyNumberFormat="1" applyFont="1" applyAlignment="1">
      <alignment horizontal="center" shrinkToFit="1"/>
    </xf>
    <xf numFmtId="164" fontId="4" fillId="0" borderId="2" xfId="1" applyNumberFormat="1" applyFont="1" applyBorder="1" applyAlignment="1">
      <alignment horizontal="center" shrinkToFit="1"/>
    </xf>
    <xf numFmtId="164" fontId="3" fillId="0" borderId="3" xfId="1" applyNumberFormat="1" applyFont="1" applyBorder="1" applyAlignment="1">
      <alignment shrinkToFit="1"/>
    </xf>
    <xf numFmtId="49" fontId="3" fillId="0" borderId="3" xfId="1" applyNumberFormat="1" applyFont="1" applyBorder="1" applyAlignment="1">
      <alignment horizontal="center" shrinkToFit="1"/>
    </xf>
    <xf numFmtId="164" fontId="3" fillId="0" borderId="3" xfId="1" applyNumberFormat="1" applyFont="1" applyBorder="1" applyAlignment="1">
      <alignment horizontal="left" shrinkToFit="1"/>
    </xf>
    <xf numFmtId="164" fontId="3" fillId="0" borderId="0" xfId="1" applyNumberFormat="1" applyFont="1" applyAlignment="1">
      <alignment horizontal="center" shrinkToFit="1"/>
    </xf>
    <xf numFmtId="164" fontId="3" fillId="0" borderId="0" xfId="1" applyNumberFormat="1" applyFont="1" applyBorder="1" applyAlignment="1">
      <alignment shrinkToFit="1"/>
    </xf>
    <xf numFmtId="164" fontId="3" fillId="0" borderId="9" xfId="1" applyNumberFormat="1" applyFont="1" applyBorder="1" applyAlignment="1">
      <alignment shrinkToFit="1"/>
    </xf>
    <xf numFmtId="164" fontId="3" fillId="0" borderId="9" xfId="1" applyNumberFormat="1" applyFont="1" applyBorder="1" applyAlignment="1">
      <alignment horizontal="center" shrinkToFit="1"/>
    </xf>
    <xf numFmtId="164" fontId="3" fillId="0" borderId="3" xfId="1" applyNumberFormat="1" applyFont="1" applyBorder="1" applyAlignment="1">
      <alignment horizontal="center" shrinkToFit="1"/>
    </xf>
    <xf numFmtId="166" fontId="3" fillId="0" borderId="3" xfId="1" applyNumberFormat="1" applyFont="1" applyBorder="1" applyAlignment="1">
      <alignment horizontal="center" shrinkToFit="1"/>
    </xf>
    <xf numFmtId="164" fontId="3" fillId="0" borderId="10" xfId="1" applyNumberFormat="1" applyFont="1" applyBorder="1" applyAlignment="1">
      <alignment shrinkToFit="1"/>
    </xf>
    <xf numFmtId="164" fontId="3" fillId="0" borderId="10" xfId="1" applyNumberFormat="1" applyFont="1" applyBorder="1" applyAlignment="1">
      <alignment horizontal="center" shrinkToFit="1"/>
    </xf>
    <xf numFmtId="168" fontId="6" fillId="0" borderId="6" xfId="1" applyNumberFormat="1" applyFont="1" applyBorder="1" applyAlignment="1">
      <alignment horizontal="center" shrinkToFit="1"/>
    </xf>
    <xf numFmtId="168" fontId="4" fillId="0" borderId="1" xfId="1" applyNumberFormat="1" applyFont="1" applyBorder="1" applyAlignment="1">
      <alignment horizontal="center" vertical="center" shrinkToFit="1"/>
    </xf>
    <xf numFmtId="168" fontId="4" fillId="0" borderId="2" xfId="1" applyNumberFormat="1" applyFont="1" applyBorder="1" applyAlignment="1">
      <alignment horizontal="center" vertical="center" shrinkToFit="1"/>
    </xf>
    <xf numFmtId="168" fontId="3" fillId="0" borderId="3" xfId="1" applyNumberFormat="1" applyFont="1" applyBorder="1" applyAlignment="1">
      <alignment horizontal="center" shrinkToFit="1"/>
    </xf>
    <xf numFmtId="168" fontId="3" fillId="0" borderId="0" xfId="1" applyNumberFormat="1" applyFont="1" applyAlignment="1">
      <alignment shrinkToFit="1"/>
    </xf>
    <xf numFmtId="164" fontId="4" fillId="0" borderId="0" xfId="1" applyNumberFormat="1" applyFont="1" applyBorder="1" applyAlignment="1">
      <alignment horizontal="center" shrinkToFit="1"/>
    </xf>
    <xf numFmtId="164" fontId="3" fillId="0" borderId="0" xfId="1" applyNumberFormat="1" applyFont="1" applyBorder="1" applyAlignment="1">
      <alignment horizontal="left" shrinkToFit="1"/>
    </xf>
    <xf numFmtId="164" fontId="4" fillId="0" borderId="0" xfId="1" applyNumberFormat="1" applyFont="1" applyBorder="1" applyAlignment="1">
      <alignment horizontal="left" shrinkToFit="1"/>
    </xf>
    <xf numFmtId="164" fontId="4" fillId="0" borderId="1" xfId="1" applyNumberFormat="1" applyFont="1" applyBorder="1" applyAlignment="1">
      <alignment vertical="center" shrinkToFit="1"/>
    </xf>
    <xf numFmtId="164" fontId="4" fillId="0" borderId="2" xfId="1" applyNumberFormat="1" applyFont="1" applyBorder="1" applyAlignment="1">
      <alignment vertical="center" shrinkToFit="1"/>
    </xf>
    <xf numFmtId="164" fontId="6" fillId="0" borderId="6" xfId="1" applyNumberFormat="1" applyFont="1" applyBorder="1" applyAlignment="1">
      <alignment horizontal="center"/>
    </xf>
    <xf numFmtId="164" fontId="4" fillId="0" borderId="1" xfId="1" applyNumberFormat="1" applyFont="1" applyBorder="1" applyAlignment="1">
      <alignment horizontal="center" vertical="center" shrinkToFit="1"/>
    </xf>
    <xf numFmtId="164" fontId="4" fillId="0" borderId="2" xfId="1" applyNumberFormat="1" applyFont="1" applyBorder="1" applyAlignment="1">
      <alignment horizontal="center" vertical="center" shrinkToFit="1"/>
    </xf>
    <xf numFmtId="169" fontId="3" fillId="0" borderId="0" xfId="1" applyNumberFormat="1" applyFont="1" applyAlignment="1">
      <alignment shrinkToFit="1"/>
    </xf>
    <xf numFmtId="169" fontId="4" fillId="0" borderId="0" xfId="1" applyNumberFormat="1" applyFont="1" applyAlignment="1">
      <alignment horizontal="center" shrinkToFit="1"/>
    </xf>
    <xf numFmtId="169" fontId="3" fillId="0" borderId="9" xfId="1" applyNumberFormat="1" applyFont="1" applyBorder="1" applyAlignment="1">
      <alignment horizontal="center" shrinkToFit="1"/>
    </xf>
    <xf numFmtId="169" fontId="6" fillId="0" borderId="9" xfId="1" applyNumberFormat="1" applyFont="1" applyBorder="1" applyAlignment="1">
      <alignment shrinkToFit="1"/>
    </xf>
    <xf numFmtId="164" fontId="6" fillId="0" borderId="0" xfId="1" applyNumberFormat="1" applyFont="1" applyBorder="1" applyAlignment="1">
      <alignment shrinkToFit="1"/>
    </xf>
    <xf numFmtId="164" fontId="6" fillId="0" borderId="9" xfId="1" applyNumberFormat="1" applyFont="1" applyBorder="1" applyAlignment="1">
      <alignment shrinkToFit="1"/>
    </xf>
    <xf numFmtId="164" fontId="3" fillId="0" borderId="5" xfId="1" applyNumberFormat="1" applyFont="1" applyBorder="1" applyAlignment="1">
      <alignment horizontal="center" shrinkToFit="1"/>
    </xf>
    <xf numFmtId="168" fontId="3" fillId="0" borderId="5" xfId="1" applyNumberFormat="1" applyFont="1" applyBorder="1" applyAlignment="1">
      <alignment horizontal="center" shrinkToFit="1"/>
    </xf>
    <xf numFmtId="49" fontId="3" fillId="0" borderId="5" xfId="1" applyNumberFormat="1" applyFont="1" applyBorder="1" applyAlignment="1">
      <alignment horizontal="center" shrinkToFit="1"/>
    </xf>
    <xf numFmtId="166" fontId="3" fillId="0" borderId="5" xfId="1" applyNumberFormat="1" applyFont="1" applyBorder="1" applyAlignment="1">
      <alignment horizontal="center" shrinkToFit="1"/>
    </xf>
    <xf numFmtId="164" fontId="3" fillId="0" borderId="11" xfId="1" applyNumberFormat="1" applyFont="1" applyBorder="1" applyAlignment="1">
      <alignment horizontal="center" shrinkToFit="1"/>
    </xf>
    <xf numFmtId="164" fontId="3" fillId="0" borderId="3" xfId="1" applyNumberFormat="1" applyFont="1" applyFill="1" applyBorder="1" applyAlignment="1">
      <alignment horizontal="center" shrinkToFit="1"/>
    </xf>
    <xf numFmtId="164" fontId="3" fillId="0" borderId="9" xfId="1" applyNumberFormat="1" applyFont="1" applyFill="1" applyBorder="1" applyAlignment="1">
      <alignment horizontal="center" shrinkToFit="1"/>
    </xf>
    <xf numFmtId="164" fontId="3" fillId="0" borderId="9" xfId="1" applyNumberFormat="1" applyFont="1" applyFill="1" applyBorder="1" applyAlignment="1">
      <alignment shrinkToFit="1"/>
    </xf>
    <xf numFmtId="164" fontId="3" fillId="2" borderId="9" xfId="1" applyNumberFormat="1" applyFont="1" applyFill="1" applyBorder="1" applyAlignment="1">
      <alignment shrinkToFit="1"/>
    </xf>
    <xf numFmtId="164" fontId="3" fillId="2" borderId="9" xfId="1" applyNumberFormat="1" applyFont="1" applyFill="1" applyBorder="1" applyAlignment="1">
      <alignment horizontal="center" shrinkToFit="1"/>
    </xf>
    <xf numFmtId="164" fontId="3" fillId="0" borderId="8" xfId="1" applyNumberFormat="1" applyFont="1" applyBorder="1" applyAlignment="1">
      <alignment horizontal="left" shrinkToFit="1"/>
    </xf>
    <xf numFmtId="164" fontId="3" fillId="0" borderId="8" xfId="1" applyNumberFormat="1" applyFont="1" applyBorder="1" applyAlignment="1">
      <alignment shrinkToFit="1"/>
    </xf>
    <xf numFmtId="164" fontId="3" fillId="0" borderId="9" xfId="1" applyNumberFormat="1" applyFont="1" applyBorder="1" applyAlignment="1">
      <alignment horizontal="left" shrinkToFit="1"/>
    </xf>
    <xf numFmtId="164" fontId="3" fillId="3" borderId="0" xfId="1" applyNumberFormat="1" applyFont="1" applyFill="1" applyAlignment="1"/>
    <xf numFmtId="164" fontId="3" fillId="3" borderId="0" xfId="1" applyNumberFormat="1" applyFont="1" applyFill="1" applyBorder="1" applyAlignment="1">
      <alignment shrinkToFit="1"/>
    </xf>
    <xf numFmtId="164" fontId="3" fillId="3" borderId="0" xfId="1" applyNumberFormat="1" applyFont="1" applyFill="1" applyAlignment="1">
      <alignment shrinkToFit="1"/>
    </xf>
    <xf numFmtId="164" fontId="6" fillId="3" borderId="6" xfId="1" applyNumberFormat="1" applyFont="1" applyFill="1" applyBorder="1" applyAlignment="1">
      <alignment horizontal="center" shrinkToFit="1"/>
    </xf>
    <xf numFmtId="168" fontId="6" fillId="3" borderId="6" xfId="1" applyNumberFormat="1" applyFont="1" applyFill="1" applyBorder="1" applyAlignment="1">
      <alignment horizontal="center" shrinkToFit="1"/>
    </xf>
    <xf numFmtId="164" fontId="4" fillId="3" borderId="1" xfId="1" applyNumberFormat="1" applyFont="1" applyFill="1" applyBorder="1" applyAlignment="1">
      <alignment horizontal="center" shrinkToFit="1"/>
    </xf>
    <xf numFmtId="168" fontId="4" fillId="3" borderId="1" xfId="1" applyNumberFormat="1" applyFont="1" applyFill="1" applyBorder="1" applyAlignment="1">
      <alignment horizontal="center" vertical="center" shrinkToFit="1"/>
    </xf>
    <xf numFmtId="164" fontId="4" fillId="3" borderId="1" xfId="1" applyNumberFormat="1" applyFont="1" applyFill="1" applyBorder="1" applyAlignment="1">
      <alignment vertical="center" shrinkToFit="1"/>
    </xf>
    <xf numFmtId="164" fontId="4" fillId="3" borderId="1" xfId="1" applyNumberFormat="1" applyFont="1" applyFill="1" applyBorder="1" applyAlignment="1">
      <alignment horizontal="center"/>
    </xf>
    <xf numFmtId="164" fontId="4" fillId="3" borderId="0" xfId="1" applyNumberFormat="1" applyFont="1" applyFill="1" applyBorder="1" applyAlignment="1">
      <alignment horizontal="center" shrinkToFit="1"/>
    </xf>
    <xf numFmtId="164" fontId="4" fillId="3" borderId="0" xfId="1" applyNumberFormat="1" applyFont="1" applyFill="1" applyAlignment="1">
      <alignment horizontal="center" shrinkToFit="1"/>
    </xf>
    <xf numFmtId="164" fontId="4" fillId="3" borderId="2" xfId="1" applyNumberFormat="1" applyFont="1" applyFill="1" applyBorder="1" applyAlignment="1">
      <alignment horizontal="center" shrinkToFit="1"/>
    </xf>
    <xf numFmtId="168" fontId="4" fillId="3" borderId="2" xfId="1" applyNumberFormat="1" applyFont="1" applyFill="1" applyBorder="1" applyAlignment="1">
      <alignment horizontal="center" vertical="center" shrinkToFit="1"/>
    </xf>
    <xf numFmtId="164" fontId="4" fillId="3" borderId="2" xfId="1" applyNumberFormat="1" applyFont="1" applyFill="1" applyBorder="1" applyAlignment="1">
      <alignment vertical="center" shrinkToFit="1"/>
    </xf>
    <xf numFmtId="164" fontId="4" fillId="3" borderId="2" xfId="1" applyNumberFormat="1" applyFont="1" applyFill="1" applyBorder="1" applyAlignment="1">
      <alignment horizontal="center"/>
    </xf>
    <xf numFmtId="164" fontId="6" fillId="3" borderId="4" xfId="1" applyNumberFormat="1" applyFont="1" applyFill="1" applyBorder="1" applyAlignment="1">
      <alignment horizontal="center" shrinkToFit="1"/>
    </xf>
    <xf numFmtId="164" fontId="6" fillId="3" borderId="4" xfId="1" applyNumberFormat="1" applyFont="1" applyFill="1" applyBorder="1" applyAlignment="1">
      <alignment horizontal="center" vertical="center" shrinkToFit="1"/>
    </xf>
    <xf numFmtId="164" fontId="6" fillId="3" borderId="7" xfId="1" applyNumberFormat="1" applyFont="1" applyFill="1" applyBorder="1" applyAlignment="1">
      <alignment horizontal="center"/>
    </xf>
    <xf numFmtId="164" fontId="6" fillId="3" borderId="0" xfId="1" applyNumberFormat="1" applyFont="1" applyFill="1" applyAlignment="1">
      <alignment horizontal="center" shrinkToFit="1"/>
    </xf>
    <xf numFmtId="164" fontId="9" fillId="3" borderId="0" xfId="1" applyNumberFormat="1" applyFont="1" applyFill="1" applyBorder="1" applyAlignment="1">
      <alignment horizontal="center" shrinkToFit="1"/>
    </xf>
    <xf numFmtId="164" fontId="7" fillId="3" borderId="0" xfId="1" applyNumberFormat="1" applyFont="1" applyFill="1" applyAlignment="1">
      <alignment shrinkToFit="1"/>
    </xf>
    <xf numFmtId="164" fontId="3" fillId="3" borderId="0" xfId="1" applyNumberFormat="1" applyFont="1" applyFill="1" applyBorder="1" applyAlignment="1">
      <alignment horizontal="center" shrinkToFit="1"/>
    </xf>
    <xf numFmtId="164" fontId="3" fillId="3" borderId="9" xfId="1" applyNumberFormat="1" applyFont="1" applyFill="1" applyBorder="1" applyAlignment="1">
      <alignment shrinkToFit="1"/>
    </xf>
    <xf numFmtId="164" fontId="3" fillId="3" borderId="9" xfId="1" applyNumberFormat="1" applyFont="1" applyFill="1" applyBorder="1" applyAlignment="1">
      <alignment horizontal="center" shrinkToFit="1"/>
    </xf>
    <xf numFmtId="164" fontId="3" fillId="3" borderId="0" xfId="1" applyNumberFormat="1" applyFont="1" applyFill="1" applyBorder="1" applyAlignment="1">
      <alignment horizontal="left" shrinkToFit="1"/>
    </xf>
    <xf numFmtId="168" fontId="3" fillId="3" borderId="0" xfId="1" applyNumberFormat="1" applyFont="1" applyFill="1" applyAlignment="1">
      <alignment shrinkToFit="1"/>
    </xf>
    <xf numFmtId="164" fontId="3" fillId="3" borderId="0" xfId="1" applyNumberFormat="1" applyFont="1" applyFill="1" applyAlignment="1">
      <alignment horizontal="center" shrinkToFit="1"/>
    </xf>
    <xf numFmtId="164" fontId="6" fillId="3" borderId="6" xfId="1" applyNumberFormat="1" applyFont="1" applyFill="1" applyBorder="1" applyAlignment="1">
      <alignment horizontal="center"/>
    </xf>
    <xf numFmtId="164" fontId="4" fillId="3" borderId="0" xfId="1" applyNumberFormat="1" applyFont="1" applyFill="1" applyBorder="1" applyAlignment="1">
      <alignment horizontal="left" shrinkToFit="1"/>
    </xf>
    <xf numFmtId="0" fontId="3" fillId="3" borderId="0" xfId="0" applyFont="1" applyFill="1" applyAlignment="1">
      <alignment shrinkToFit="1"/>
    </xf>
    <xf numFmtId="0" fontId="2" fillId="3" borderId="0" xfId="0" applyFont="1" applyFill="1" applyAlignment="1">
      <alignment horizontal="center" shrinkToFit="1"/>
    </xf>
    <xf numFmtId="0" fontId="6" fillId="3" borderId="1" xfId="0" applyFont="1" applyFill="1" applyBorder="1" applyAlignment="1">
      <alignment vertical="center" shrinkToFit="1"/>
    </xf>
    <xf numFmtId="167" fontId="6" fillId="3" borderId="1" xfId="0" applyNumberFormat="1" applyFont="1" applyFill="1" applyBorder="1" applyAlignment="1">
      <alignment horizontal="center" vertical="center" shrinkToFit="1"/>
    </xf>
    <xf numFmtId="0" fontId="6" fillId="3" borderId="2" xfId="0" applyFont="1" applyFill="1" applyBorder="1" applyAlignment="1">
      <alignment vertical="center" shrinkToFit="1"/>
    </xf>
    <xf numFmtId="167" fontId="6" fillId="3" borderId="2" xfId="0" applyNumberFormat="1" applyFont="1" applyFill="1" applyBorder="1" applyAlignment="1">
      <alignment horizontal="center" vertical="center" shrinkToFit="1"/>
    </xf>
    <xf numFmtId="43" fontId="3" fillId="3" borderId="9" xfId="1" applyFont="1" applyFill="1" applyBorder="1" applyAlignment="1">
      <alignment shrinkToFit="1"/>
    </xf>
    <xf numFmtId="0" fontId="3" fillId="3" borderId="0" xfId="0" applyFont="1" applyFill="1" applyAlignment="1">
      <alignment horizontal="center" shrinkToFit="1"/>
    </xf>
    <xf numFmtId="43" fontId="3" fillId="3" borderId="0" xfId="1" applyFont="1" applyFill="1" applyAlignment="1">
      <alignment horizontal="right" shrinkToFit="1"/>
    </xf>
    <xf numFmtId="43" fontId="3" fillId="3" borderId="0" xfId="1" applyFont="1" applyFill="1" applyAlignment="1">
      <alignment shrinkToFit="1"/>
    </xf>
    <xf numFmtId="164" fontId="6" fillId="0" borderId="16" xfId="1" applyNumberFormat="1" applyFont="1" applyBorder="1" applyAlignment="1">
      <alignment shrinkToFit="1"/>
    </xf>
    <xf numFmtId="0" fontId="2" fillId="2" borderId="0" xfId="0" applyFont="1" applyFill="1" applyAlignment="1">
      <alignment horizontal="center" shrinkToFit="1"/>
    </xf>
    <xf numFmtId="0" fontId="3" fillId="2" borderId="0" xfId="0" applyFont="1" applyFill="1" applyAlignment="1">
      <alignment horizontal="center" shrinkToFit="1"/>
    </xf>
    <xf numFmtId="43" fontId="6" fillId="3" borderId="6" xfId="1" applyFont="1" applyFill="1" applyBorder="1" applyAlignment="1">
      <alignment horizontal="center" shrinkToFit="1"/>
    </xf>
    <xf numFmtId="43" fontId="4" fillId="3" borderId="1" xfId="1" applyFont="1" applyFill="1" applyBorder="1" applyAlignment="1">
      <alignment horizontal="center" shrinkToFit="1"/>
    </xf>
    <xf numFmtId="43" fontId="4" fillId="3" borderId="2" xfId="1" applyFont="1" applyFill="1" applyBorder="1" applyAlignment="1">
      <alignment horizontal="center" shrinkToFit="1"/>
    </xf>
    <xf numFmtId="164" fontId="6" fillId="3" borderId="18" xfId="1" applyNumberFormat="1" applyFont="1" applyFill="1" applyBorder="1" applyAlignment="1">
      <alignment horizontal="center" shrinkToFit="1"/>
    </xf>
    <xf numFmtId="164" fontId="3" fillId="0" borderId="3" xfId="1" applyNumberFormat="1" applyFont="1" applyBorder="1" applyAlignment="1">
      <alignment horizontal="center" vertical="top" wrapText="1" shrinkToFit="1"/>
    </xf>
    <xf numFmtId="168" fontId="5" fillId="0" borderId="3" xfId="1" applyNumberFormat="1" applyFont="1" applyBorder="1" applyAlignment="1">
      <alignment horizontal="center" vertical="top" wrapText="1" shrinkToFit="1"/>
    </xf>
    <xf numFmtId="49" fontId="3" fillId="0" borderId="3" xfId="1" applyNumberFormat="1" applyFont="1" applyBorder="1" applyAlignment="1">
      <alignment horizontal="center" vertical="top" wrapText="1" shrinkToFit="1"/>
    </xf>
    <xf numFmtId="165" fontId="3" fillId="0" borderId="3" xfId="1" applyNumberFormat="1" applyFont="1" applyBorder="1" applyAlignment="1">
      <alignment horizontal="center" vertical="top" wrapText="1" shrinkToFit="1"/>
    </xf>
    <xf numFmtId="164" fontId="3" fillId="0" borderId="3" xfId="1" applyNumberFormat="1" applyFont="1" applyBorder="1" applyAlignment="1">
      <alignment horizontal="left" vertical="top" wrapText="1" shrinkToFit="1"/>
    </xf>
    <xf numFmtId="164" fontId="5" fillId="0" borderId="3" xfId="1" applyNumberFormat="1" applyFont="1" applyBorder="1" applyAlignment="1">
      <alignment horizontal="center" vertical="top" wrapText="1" shrinkToFit="1"/>
    </xf>
    <xf numFmtId="164" fontId="5" fillId="0" borderId="3" xfId="1" applyNumberFormat="1" applyFont="1" applyFill="1" applyBorder="1" applyAlignment="1">
      <alignment horizontal="center" vertical="top" wrapText="1" shrinkToFit="1"/>
    </xf>
    <xf numFmtId="165" fontId="5" fillId="0" borderId="3" xfId="1" applyNumberFormat="1" applyFont="1" applyBorder="1" applyAlignment="1">
      <alignment horizontal="center" vertical="top" wrapText="1" shrinkToFit="1"/>
    </xf>
    <xf numFmtId="165" fontId="5" fillId="0" borderId="3" xfId="1" applyNumberFormat="1" applyFont="1" applyFill="1" applyBorder="1" applyAlignment="1">
      <alignment horizontal="center" vertical="top" wrapText="1" shrinkToFit="1"/>
    </xf>
    <xf numFmtId="164" fontId="5" fillId="0" borderId="9" xfId="1" applyNumberFormat="1" applyFont="1" applyFill="1" applyBorder="1" applyAlignment="1">
      <alignment horizontal="center" vertical="top" wrapText="1" shrinkToFit="1"/>
    </xf>
    <xf numFmtId="164" fontId="3" fillId="3" borderId="3" xfId="1" applyNumberFormat="1" applyFont="1" applyFill="1" applyBorder="1" applyAlignment="1">
      <alignment vertical="top" shrinkToFit="1"/>
    </xf>
    <xf numFmtId="168" fontId="3" fillId="3" borderId="3" xfId="1" applyNumberFormat="1" applyFont="1" applyFill="1" applyBorder="1" applyAlignment="1">
      <alignment horizontal="center" vertical="top" shrinkToFit="1"/>
    </xf>
    <xf numFmtId="49" fontId="3" fillId="3" borderId="3" xfId="1" applyNumberFormat="1" applyFont="1" applyFill="1" applyBorder="1" applyAlignment="1">
      <alignment horizontal="center" vertical="top" shrinkToFit="1"/>
    </xf>
    <xf numFmtId="164" fontId="3" fillId="3" borderId="3" xfId="1" applyNumberFormat="1" applyFont="1" applyFill="1" applyBorder="1" applyAlignment="1">
      <alignment vertical="top" wrapText="1"/>
    </xf>
    <xf numFmtId="164" fontId="3" fillId="3" borderId="3" xfId="1" applyNumberFormat="1" applyFont="1" applyFill="1" applyBorder="1" applyAlignment="1">
      <alignment horizontal="center" vertical="top" shrinkToFit="1"/>
    </xf>
    <xf numFmtId="165" fontId="3" fillId="3" borderId="3" xfId="1" applyNumberFormat="1" applyFont="1" applyFill="1" applyBorder="1" applyAlignment="1">
      <alignment horizontal="center" vertical="top" shrinkToFit="1"/>
    </xf>
    <xf numFmtId="164" fontId="3" fillId="3" borderId="3" xfId="1" applyNumberFormat="1" applyFont="1" applyFill="1" applyBorder="1" applyAlignment="1">
      <alignment horizontal="center" vertical="top"/>
    </xf>
    <xf numFmtId="164" fontId="6" fillId="3" borderId="0" xfId="1" applyNumberFormat="1" applyFont="1" applyFill="1" applyBorder="1" applyAlignment="1">
      <alignment horizontal="center" vertical="top" shrinkToFit="1"/>
    </xf>
    <xf numFmtId="164" fontId="6" fillId="3" borderId="0" xfId="1" applyNumberFormat="1" applyFont="1" applyFill="1" applyAlignment="1">
      <alignment horizontal="left" vertical="top" shrinkToFit="1"/>
    </xf>
    <xf numFmtId="164" fontId="6" fillId="3" borderId="0" xfId="1" applyNumberFormat="1" applyFont="1" applyFill="1" applyAlignment="1">
      <alignment horizontal="center" vertical="top" shrinkToFit="1"/>
    </xf>
    <xf numFmtId="164" fontId="3" fillId="3" borderId="3" xfId="1" applyNumberFormat="1" applyFont="1" applyFill="1" applyBorder="1" applyAlignment="1">
      <alignment horizontal="center" vertical="top" wrapText="1"/>
    </xf>
    <xf numFmtId="164" fontId="6" fillId="3" borderId="0" xfId="1" applyNumberFormat="1" applyFont="1" applyFill="1" applyBorder="1" applyAlignment="1">
      <alignment horizontal="center" shrinkToFit="1"/>
    </xf>
    <xf numFmtId="165" fontId="3" fillId="3" borderId="3" xfId="1" applyNumberFormat="1" applyFont="1" applyFill="1" applyBorder="1" applyAlignment="1">
      <alignment vertical="top" shrinkToFit="1"/>
    </xf>
    <xf numFmtId="164" fontId="3" fillId="3" borderId="0" xfId="1" applyNumberFormat="1" applyFont="1" applyFill="1" applyBorder="1" applyAlignment="1">
      <alignment vertical="top" shrinkToFit="1"/>
    </xf>
    <xf numFmtId="164" fontId="3" fillId="3" borderId="0" xfId="1" applyNumberFormat="1" applyFont="1" applyFill="1" applyAlignment="1">
      <alignment vertical="top" shrinkToFit="1"/>
    </xf>
    <xf numFmtId="164" fontId="3" fillId="3" borderId="0" xfId="1" applyNumberFormat="1" applyFont="1" applyFill="1" applyBorder="1" applyAlignment="1">
      <alignment vertical="top" wrapText="1"/>
    </xf>
    <xf numFmtId="168" fontId="5" fillId="3" borderId="3" xfId="1" applyNumberFormat="1" applyFont="1" applyFill="1" applyBorder="1" applyAlignment="1">
      <alignment horizontal="center" vertical="top" wrapText="1"/>
    </xf>
    <xf numFmtId="164" fontId="5" fillId="3" borderId="3" xfId="1" applyNumberFormat="1" applyFont="1" applyFill="1" applyBorder="1" applyAlignment="1">
      <alignment horizontal="center" vertical="top" wrapText="1"/>
    </xf>
    <xf numFmtId="43" fontId="3" fillId="3" borderId="3" xfId="1" applyFont="1" applyFill="1" applyBorder="1" applyAlignment="1">
      <alignment horizontal="center" vertical="top" shrinkToFit="1"/>
    </xf>
    <xf numFmtId="164" fontId="3" fillId="3" borderId="9" xfId="1" applyNumberFormat="1" applyFont="1" applyFill="1" applyBorder="1" applyAlignment="1">
      <alignment horizontal="center" vertical="top" shrinkToFit="1"/>
    </xf>
    <xf numFmtId="164" fontId="3" fillId="3" borderId="0" xfId="1" applyNumberFormat="1" applyFont="1" applyFill="1" applyBorder="1" applyAlignment="1">
      <alignment horizontal="left" vertical="top" shrinkToFit="1"/>
    </xf>
    <xf numFmtId="164" fontId="3" fillId="3" borderId="0" xfId="1" applyNumberFormat="1" applyFont="1" applyFill="1" applyBorder="1" applyAlignment="1">
      <alignment horizontal="center" vertical="top" shrinkToFit="1"/>
    </xf>
    <xf numFmtId="164" fontId="3" fillId="3" borderId="3" xfId="1" applyNumberFormat="1" applyFont="1" applyFill="1" applyBorder="1" applyAlignment="1">
      <alignment horizontal="left" vertical="top" wrapText="1"/>
    </xf>
    <xf numFmtId="165" fontId="10" fillId="3" borderId="3" xfId="1" applyNumberFormat="1" applyFont="1" applyFill="1" applyBorder="1" applyAlignment="1">
      <alignment horizontal="center" vertical="top" wrapText="1"/>
    </xf>
    <xf numFmtId="164" fontId="6" fillId="3" borderId="0" xfId="1" applyNumberFormat="1" applyFont="1" applyFill="1" applyAlignment="1">
      <alignment horizontal="left" shrinkToFit="1"/>
    </xf>
    <xf numFmtId="164" fontId="3" fillId="3" borderId="0" xfId="1" applyNumberFormat="1" applyFont="1" applyFill="1" applyAlignment="1">
      <alignment horizontal="left" shrinkToFit="1"/>
    </xf>
    <xf numFmtId="164" fontId="6" fillId="3" borderId="0" xfId="1" applyNumberFormat="1" applyFont="1" applyFill="1" applyAlignment="1">
      <alignment shrinkToFit="1"/>
    </xf>
    <xf numFmtId="164" fontId="6" fillId="3" borderId="0" xfId="1" applyNumberFormat="1" applyFont="1" applyFill="1" applyAlignment="1">
      <alignment horizontal="right" shrinkToFit="1"/>
    </xf>
    <xf numFmtId="164" fontId="6" fillId="3" borderId="16" xfId="1" applyNumberFormat="1" applyFont="1" applyFill="1" applyBorder="1" applyAlignment="1">
      <alignment shrinkToFit="1"/>
    </xf>
    <xf numFmtId="164" fontId="3" fillId="3" borderId="0" xfId="1" applyNumberFormat="1" applyFont="1" applyFill="1" applyBorder="1" applyAlignment="1">
      <alignment horizontal="left" vertical="top" wrapText="1"/>
    </xf>
    <xf numFmtId="0" fontId="3" fillId="3" borderId="3" xfId="0" applyFont="1" applyFill="1" applyBorder="1" applyAlignment="1">
      <alignment horizontal="center" vertical="top" shrinkToFit="1"/>
    </xf>
    <xf numFmtId="49" fontId="3" fillId="3" borderId="3" xfId="0" applyNumberFormat="1" applyFont="1" applyFill="1" applyBorder="1" applyAlignment="1">
      <alignment vertical="top" shrinkToFit="1"/>
    </xf>
    <xf numFmtId="15" fontId="3" fillId="3" borderId="3" xfId="0" applyNumberFormat="1" applyFont="1" applyFill="1" applyBorder="1" applyAlignment="1">
      <alignment vertical="top" shrinkToFit="1"/>
    </xf>
    <xf numFmtId="15" fontId="3" fillId="2" borderId="3" xfId="0" applyNumberFormat="1" applyFont="1" applyFill="1" applyBorder="1" applyAlignment="1">
      <alignment vertical="top" shrinkToFit="1"/>
    </xf>
    <xf numFmtId="0" fontId="3" fillId="3" borderId="0" xfId="0" applyFont="1" applyFill="1" applyAlignment="1">
      <alignment vertical="top" shrinkToFit="1"/>
    </xf>
    <xf numFmtId="0" fontId="3" fillId="3" borderId="3" xfId="0" applyFont="1" applyFill="1" applyBorder="1" applyAlignment="1">
      <alignment vertical="top" wrapText="1"/>
    </xf>
    <xf numFmtId="0" fontId="5" fillId="3" borderId="3" xfId="0" applyFont="1" applyFill="1" applyBorder="1" applyAlignment="1">
      <alignment horizontal="center" vertical="top" wrapText="1"/>
    </xf>
    <xf numFmtId="43" fontId="3" fillId="3" borderId="3" xfId="1" applyFont="1" applyFill="1" applyBorder="1" applyAlignment="1">
      <alignment vertical="top" shrinkToFit="1"/>
    </xf>
    <xf numFmtId="4" fontId="3" fillId="3" borderId="3" xfId="0" applyNumberFormat="1" applyFont="1" applyFill="1" applyBorder="1" applyAlignment="1">
      <alignment vertical="top" shrinkToFit="1"/>
    </xf>
    <xf numFmtId="0" fontId="11" fillId="3" borderId="3" xfId="0" applyFont="1" applyFill="1" applyBorder="1" applyAlignment="1">
      <alignment horizontal="center" vertical="top" wrapText="1"/>
    </xf>
    <xf numFmtId="168" fontId="12" fillId="3" borderId="3" xfId="1" applyNumberFormat="1" applyFont="1" applyFill="1" applyBorder="1" applyAlignment="1">
      <alignment vertical="top" wrapText="1"/>
    </xf>
    <xf numFmtId="164" fontId="3" fillId="0" borderId="9" xfId="1" applyNumberFormat="1" applyFont="1" applyBorder="1" applyAlignment="1">
      <alignment horizontal="left" vertical="top" shrinkToFit="1"/>
    </xf>
    <xf numFmtId="164" fontId="3" fillId="0" borderId="9" xfId="1" applyNumberFormat="1" applyFont="1" applyBorder="1" applyAlignment="1">
      <alignment horizontal="center" vertical="top" shrinkToFit="1"/>
    </xf>
    <xf numFmtId="169" fontId="3" fillId="0" borderId="9" xfId="1" applyNumberFormat="1" applyFont="1" applyBorder="1" applyAlignment="1">
      <alignment horizontal="center" vertical="top" shrinkToFit="1"/>
    </xf>
    <xf numFmtId="168" fontId="5" fillId="3" borderId="0" xfId="1" applyNumberFormat="1" applyFont="1" applyFill="1" applyBorder="1" applyAlignment="1">
      <alignment horizontal="center" vertical="top" wrapText="1"/>
    </xf>
    <xf numFmtId="165" fontId="3" fillId="3" borderId="0" xfId="1" applyNumberFormat="1" applyFont="1" applyFill="1" applyBorder="1" applyAlignment="1">
      <alignment vertical="top" shrinkToFit="1"/>
    </xf>
    <xf numFmtId="49" fontId="3" fillId="3" borderId="0" xfId="1" applyNumberFormat="1" applyFont="1" applyFill="1" applyBorder="1" applyAlignment="1">
      <alignment horizontal="center" vertical="top" shrinkToFit="1"/>
    </xf>
    <xf numFmtId="164" fontId="3" fillId="3" borderId="0" xfId="1" applyNumberFormat="1" applyFont="1" applyFill="1" applyBorder="1" applyAlignment="1">
      <alignment horizontal="center" vertical="top" wrapText="1"/>
    </xf>
    <xf numFmtId="164" fontId="3" fillId="3" borderId="5" xfId="1" applyNumberFormat="1" applyFont="1" applyFill="1" applyBorder="1" applyAlignment="1">
      <alignment vertical="top" shrinkToFit="1"/>
    </xf>
    <xf numFmtId="168" fontId="5" fillId="3" borderId="5" xfId="1" applyNumberFormat="1" applyFont="1" applyFill="1" applyBorder="1" applyAlignment="1">
      <alignment horizontal="center" vertical="top" wrapText="1"/>
    </xf>
    <xf numFmtId="165" fontId="3" fillId="3" borderId="5" xfId="1" applyNumberFormat="1" applyFont="1" applyFill="1" applyBorder="1" applyAlignment="1">
      <alignment vertical="top" shrinkToFit="1"/>
    </xf>
    <xf numFmtId="49" fontId="3" fillId="3" borderId="5" xfId="1" applyNumberFormat="1" applyFont="1" applyFill="1" applyBorder="1" applyAlignment="1">
      <alignment horizontal="center" vertical="top" shrinkToFit="1"/>
    </xf>
    <xf numFmtId="164" fontId="3" fillId="3" borderId="5" xfId="1" applyNumberFormat="1" applyFont="1" applyFill="1" applyBorder="1" applyAlignment="1">
      <alignment vertical="top" wrapText="1"/>
    </xf>
    <xf numFmtId="164" fontId="3" fillId="3" borderId="5" xfId="1" applyNumberFormat="1" applyFont="1" applyFill="1" applyBorder="1" applyAlignment="1">
      <alignment horizontal="center" vertical="top" shrinkToFit="1"/>
    </xf>
    <xf numFmtId="164" fontId="3" fillId="3" borderId="5" xfId="1" applyNumberFormat="1" applyFont="1" applyFill="1" applyBorder="1" applyAlignment="1">
      <alignment horizontal="center" vertical="top" wrapText="1"/>
    </xf>
    <xf numFmtId="164" fontId="5" fillId="3" borderId="3" xfId="1" applyNumberFormat="1" applyFont="1" applyFill="1" applyBorder="1" applyAlignment="1">
      <alignment vertical="top" wrapText="1"/>
    </xf>
    <xf numFmtId="164" fontId="3" fillId="3" borderId="0" xfId="1" applyNumberFormat="1" applyFont="1" applyFill="1" applyAlignment="1">
      <alignment vertical="top" wrapText="1"/>
    </xf>
    <xf numFmtId="0" fontId="5" fillId="3" borderId="3" xfId="0" applyFont="1" applyFill="1" applyBorder="1" applyAlignment="1">
      <alignment vertical="top" wrapText="1"/>
    </xf>
    <xf numFmtId="164" fontId="4" fillId="3" borderId="1" xfId="1" applyNumberFormat="1" applyFont="1" applyFill="1" applyBorder="1" applyAlignment="1">
      <alignment horizontal="center" vertical="center" shrinkToFit="1"/>
    </xf>
    <xf numFmtId="164" fontId="4" fillId="3" borderId="2" xfId="1" applyNumberFormat="1" applyFont="1" applyFill="1" applyBorder="1" applyAlignment="1">
      <alignment horizontal="center" vertical="center" shrinkToFit="1"/>
    </xf>
    <xf numFmtId="168" fontId="5" fillId="3" borderId="20" xfId="1" applyNumberFormat="1" applyFont="1" applyFill="1" applyBorder="1" applyAlignment="1">
      <alignment horizontal="center" vertical="top" wrapText="1"/>
    </xf>
    <xf numFmtId="49" fontId="3" fillId="3" borderId="20" xfId="1" applyNumberFormat="1" applyFont="1" applyFill="1" applyBorder="1" applyAlignment="1">
      <alignment horizontal="center" vertical="top" shrinkToFit="1"/>
    </xf>
    <xf numFmtId="165" fontId="3" fillId="3" borderId="20" xfId="1" applyNumberFormat="1" applyFont="1" applyFill="1" applyBorder="1" applyAlignment="1">
      <alignment horizontal="center" vertical="top" shrinkToFit="1"/>
    </xf>
    <xf numFmtId="164" fontId="3" fillId="3" borderId="20" xfId="1" applyNumberFormat="1" applyFont="1" applyFill="1" applyBorder="1" applyAlignment="1">
      <alignment vertical="top" shrinkToFit="1"/>
    </xf>
    <xf numFmtId="43" fontId="3" fillId="3" borderId="20" xfId="1" applyFont="1" applyFill="1" applyBorder="1" applyAlignment="1">
      <alignment horizontal="center" vertical="top" shrinkToFit="1"/>
    </xf>
    <xf numFmtId="164" fontId="3" fillId="3" borderId="20" xfId="1" applyNumberFormat="1" applyFont="1" applyFill="1" applyBorder="1" applyAlignment="1">
      <alignment horizontal="left" vertical="top" wrapText="1"/>
    </xf>
    <xf numFmtId="164" fontId="3" fillId="3" borderId="20" xfId="1" applyNumberFormat="1" applyFont="1" applyFill="1" applyBorder="1" applyAlignment="1">
      <alignment horizontal="center" vertical="top" shrinkToFit="1"/>
    </xf>
    <xf numFmtId="165" fontId="10" fillId="3" borderId="20" xfId="1" applyNumberFormat="1" applyFont="1" applyFill="1" applyBorder="1" applyAlignment="1">
      <alignment horizontal="center" vertical="top" wrapText="1"/>
    </xf>
    <xf numFmtId="164" fontId="5" fillId="3" borderId="20" xfId="1" applyNumberFormat="1" applyFont="1" applyFill="1" applyBorder="1" applyAlignment="1">
      <alignment horizontal="center" vertical="top" wrapText="1"/>
    </xf>
    <xf numFmtId="165" fontId="3" fillId="3" borderId="0" xfId="1" applyNumberFormat="1" applyFont="1" applyFill="1" applyBorder="1" applyAlignment="1">
      <alignment horizontal="center" vertical="top" shrinkToFit="1"/>
    </xf>
    <xf numFmtId="43" fontId="3" fillId="3" borderId="0" xfId="1" applyFont="1" applyFill="1" applyBorder="1" applyAlignment="1">
      <alignment horizontal="center" vertical="top" shrinkToFit="1"/>
    </xf>
    <xf numFmtId="165" fontId="10" fillId="3" borderId="0" xfId="1" applyNumberFormat="1" applyFont="1" applyFill="1" applyBorder="1" applyAlignment="1">
      <alignment horizontal="center" vertical="top" wrapText="1"/>
    </xf>
    <xf numFmtId="164" fontId="5" fillId="3" borderId="0" xfId="1" applyNumberFormat="1" applyFont="1" applyFill="1" applyBorder="1" applyAlignment="1">
      <alignment horizontal="center" vertical="top" wrapText="1"/>
    </xf>
    <xf numFmtId="164" fontId="10" fillId="3" borderId="3" xfId="1" applyNumberFormat="1" applyFont="1" applyFill="1" applyBorder="1" applyAlignment="1">
      <alignment horizontal="center" vertical="top" wrapText="1"/>
    </xf>
    <xf numFmtId="0" fontId="3" fillId="3" borderId="0" xfId="0" applyFont="1" applyFill="1" applyAlignment="1">
      <alignment vertical="top" wrapText="1"/>
    </xf>
    <xf numFmtId="0" fontId="5" fillId="3" borderId="0" xfId="0" applyFont="1" applyFill="1" applyAlignment="1">
      <alignment horizontal="center" vertical="top" wrapText="1"/>
    </xf>
    <xf numFmtId="164" fontId="13" fillId="3" borderId="3" xfId="1" applyNumberFormat="1" applyFont="1" applyFill="1" applyBorder="1" applyAlignment="1">
      <alignment horizontal="center" vertical="top" wrapText="1"/>
    </xf>
    <xf numFmtId="164" fontId="7" fillId="3" borderId="3" xfId="1" applyNumberFormat="1" applyFont="1" applyFill="1" applyBorder="1" applyAlignment="1">
      <alignment vertical="top" shrinkToFit="1"/>
    </xf>
    <xf numFmtId="168" fontId="7" fillId="3" borderId="3" xfId="1" applyNumberFormat="1" applyFont="1" applyFill="1" applyBorder="1" applyAlignment="1">
      <alignment horizontal="center" vertical="top" shrinkToFit="1"/>
    </xf>
    <xf numFmtId="49" fontId="7" fillId="3" borderId="3" xfId="1" applyNumberFormat="1" applyFont="1" applyFill="1" applyBorder="1" applyAlignment="1">
      <alignment horizontal="center" vertical="top" shrinkToFit="1"/>
    </xf>
    <xf numFmtId="164" fontId="7" fillId="3" borderId="3" xfId="1" applyNumberFormat="1" applyFont="1" applyFill="1" applyBorder="1" applyAlignment="1">
      <alignment vertical="top" wrapText="1"/>
    </xf>
    <xf numFmtId="164" fontId="7" fillId="3" borderId="3" xfId="1" applyNumberFormat="1" applyFont="1" applyFill="1" applyBorder="1" applyAlignment="1">
      <alignment horizontal="center" vertical="top" shrinkToFit="1"/>
    </xf>
    <xf numFmtId="165" fontId="7" fillId="3" borderId="3" xfId="1" applyNumberFormat="1" applyFont="1" applyFill="1" applyBorder="1" applyAlignment="1">
      <alignment horizontal="center" vertical="top" shrinkToFit="1"/>
    </xf>
    <xf numFmtId="164" fontId="9" fillId="3" borderId="0" xfId="1" applyNumberFormat="1" applyFont="1" applyFill="1" applyBorder="1" applyAlignment="1">
      <alignment horizontal="center" vertical="top" shrinkToFit="1"/>
    </xf>
    <xf numFmtId="164" fontId="9" fillId="3" borderId="0" xfId="1" applyNumberFormat="1" applyFont="1" applyFill="1" applyAlignment="1">
      <alignment horizontal="left" vertical="top" shrinkToFit="1"/>
    </xf>
    <xf numFmtId="164" fontId="9" fillId="3" borderId="0" xfId="1" applyNumberFormat="1" applyFont="1" applyFill="1" applyAlignment="1">
      <alignment horizontal="center" vertical="top" shrinkToFit="1"/>
    </xf>
    <xf numFmtId="164" fontId="13" fillId="3" borderId="3" xfId="1" applyNumberFormat="1" applyFont="1" applyFill="1" applyBorder="1" applyAlignment="1">
      <alignment horizontal="center" wrapText="1"/>
    </xf>
    <xf numFmtId="164" fontId="7" fillId="3" borderId="17" xfId="1" applyNumberFormat="1" applyFont="1" applyFill="1" applyBorder="1" applyAlignment="1">
      <alignment horizontal="center" vertical="top" shrinkToFit="1"/>
    </xf>
    <xf numFmtId="168" fontId="13" fillId="3" borderId="17" xfId="1" applyNumberFormat="1" applyFont="1" applyFill="1" applyBorder="1" applyAlignment="1">
      <alignment horizontal="center" vertical="top" wrapText="1"/>
    </xf>
    <xf numFmtId="49" fontId="7" fillId="3" borderId="17" xfId="1" applyNumberFormat="1" applyFont="1" applyFill="1" applyBorder="1" applyAlignment="1">
      <alignment horizontal="center" vertical="top" shrinkToFit="1"/>
    </xf>
    <xf numFmtId="165" fontId="7" fillId="3" borderId="17" xfId="1" applyNumberFormat="1" applyFont="1" applyFill="1" applyBorder="1" applyAlignment="1">
      <alignment horizontal="center" vertical="top" shrinkToFit="1"/>
    </xf>
    <xf numFmtId="43" fontId="7" fillId="3" borderId="17" xfId="1" applyFont="1" applyFill="1" applyBorder="1" applyAlignment="1">
      <alignment horizontal="center" vertical="top" shrinkToFit="1"/>
    </xf>
    <xf numFmtId="164" fontId="7" fillId="3" borderId="17" xfId="1" applyNumberFormat="1" applyFont="1" applyFill="1" applyBorder="1" applyAlignment="1">
      <alignment horizontal="left" vertical="top" wrapText="1"/>
    </xf>
    <xf numFmtId="165" fontId="14" fillId="3" borderId="17" xfId="1" applyNumberFormat="1" applyFont="1" applyFill="1" applyBorder="1" applyAlignment="1">
      <alignment horizontal="center" vertical="top" wrapText="1"/>
    </xf>
    <xf numFmtId="164" fontId="13" fillId="3" borderId="17" xfId="1" applyNumberFormat="1" applyFont="1" applyFill="1" applyBorder="1" applyAlignment="1">
      <alignment horizontal="center" vertical="top" wrapText="1"/>
    </xf>
    <xf numFmtId="164" fontId="7" fillId="3" borderId="0" xfId="1" applyNumberFormat="1" applyFont="1" applyFill="1" applyBorder="1" applyAlignment="1">
      <alignment horizontal="left" vertical="top" shrinkToFit="1"/>
    </xf>
    <xf numFmtId="164" fontId="7" fillId="3" borderId="0" xfId="1" applyNumberFormat="1" applyFont="1" applyFill="1" applyBorder="1" applyAlignment="1">
      <alignment horizontal="center" vertical="top" shrinkToFit="1"/>
    </xf>
    <xf numFmtId="164" fontId="7" fillId="3" borderId="9" xfId="1" applyNumberFormat="1" applyFont="1" applyFill="1" applyBorder="1" applyAlignment="1">
      <alignment horizontal="center" vertical="top" shrinkToFit="1"/>
    </xf>
    <xf numFmtId="0" fontId="3" fillId="3" borderId="5" xfId="0" applyFont="1" applyFill="1" applyBorder="1" applyAlignment="1">
      <alignment vertical="top" wrapText="1"/>
    </xf>
    <xf numFmtId="0" fontId="5" fillId="3" borderId="5" xfId="0" applyFont="1" applyFill="1" applyBorder="1" applyAlignment="1">
      <alignment horizontal="center" vertical="top" wrapText="1"/>
    </xf>
    <xf numFmtId="164" fontId="3" fillId="3" borderId="21" xfId="1" applyNumberFormat="1" applyFont="1" applyFill="1" applyBorder="1" applyAlignment="1">
      <alignment vertical="top" wrapText="1"/>
    </xf>
    <xf numFmtId="164" fontId="10" fillId="3" borderId="0" xfId="1" applyNumberFormat="1" applyFont="1" applyFill="1" applyBorder="1" applyAlignment="1">
      <alignment horizontal="center" vertical="top" wrapText="1"/>
    </xf>
    <xf numFmtId="164" fontId="6" fillId="3" borderId="0" xfId="1" applyNumberFormat="1" applyFont="1" applyFill="1" applyBorder="1" applyAlignment="1">
      <alignment shrinkToFit="1"/>
    </xf>
    <xf numFmtId="164" fontId="3" fillId="3" borderId="15" xfId="1" applyNumberFormat="1" applyFont="1" applyFill="1" applyBorder="1" applyAlignment="1">
      <alignment horizontal="center" vertical="top" shrinkToFit="1"/>
    </xf>
    <xf numFmtId="168" fontId="5" fillId="3" borderId="15" xfId="1" applyNumberFormat="1" applyFont="1" applyFill="1" applyBorder="1" applyAlignment="1">
      <alignment horizontal="center" vertical="top" wrapText="1"/>
    </xf>
    <xf numFmtId="49" fontId="3" fillId="3" borderId="15" xfId="1" applyNumberFormat="1" applyFont="1" applyFill="1" applyBorder="1" applyAlignment="1">
      <alignment horizontal="center" vertical="top" shrinkToFit="1"/>
    </xf>
    <xf numFmtId="165" fontId="3" fillId="3" borderId="15" xfId="1" applyNumberFormat="1" applyFont="1" applyFill="1" applyBorder="1" applyAlignment="1">
      <alignment horizontal="center" vertical="top" shrinkToFit="1"/>
    </xf>
    <xf numFmtId="164" fontId="3" fillId="3" borderId="15" xfId="1" applyNumberFormat="1" applyFont="1" applyFill="1" applyBorder="1" applyAlignment="1">
      <alignment vertical="top" wrapText="1"/>
    </xf>
    <xf numFmtId="43" fontId="3" fillId="3" borderId="15" xfId="1" applyFont="1" applyFill="1" applyBorder="1" applyAlignment="1">
      <alignment horizontal="center" vertical="top" shrinkToFit="1"/>
    </xf>
    <xf numFmtId="164" fontId="3" fillId="3" borderId="15" xfId="1" applyNumberFormat="1" applyFont="1" applyFill="1" applyBorder="1" applyAlignment="1">
      <alignment horizontal="left" vertical="top" wrapText="1"/>
    </xf>
    <xf numFmtId="0" fontId="5" fillId="3" borderId="15" xfId="0" applyFont="1" applyFill="1" applyBorder="1" applyAlignment="1">
      <alignment horizontal="center" vertical="top" wrapText="1"/>
    </xf>
    <xf numFmtId="165" fontId="10" fillId="3" borderId="15" xfId="1" applyNumberFormat="1" applyFont="1" applyFill="1" applyBorder="1" applyAlignment="1">
      <alignment horizontal="center" vertical="top" wrapText="1"/>
    </xf>
    <xf numFmtId="164" fontId="10" fillId="3" borderId="15" xfId="1" applyNumberFormat="1" applyFont="1" applyFill="1" applyBorder="1" applyAlignment="1">
      <alignment horizontal="center" vertical="top" wrapText="1"/>
    </xf>
    <xf numFmtId="164" fontId="3" fillId="3" borderId="7" xfId="1" applyNumberFormat="1" applyFont="1" applyFill="1" applyBorder="1" applyAlignment="1">
      <alignment horizontal="center" vertical="top" shrinkToFit="1"/>
    </xf>
    <xf numFmtId="168" fontId="5" fillId="3" borderId="7" xfId="1" applyNumberFormat="1" applyFont="1" applyFill="1" applyBorder="1" applyAlignment="1">
      <alignment horizontal="center" vertical="top" wrapText="1"/>
    </xf>
    <xf numFmtId="49" fontId="3" fillId="3" borderId="7" xfId="1" applyNumberFormat="1" applyFont="1" applyFill="1" applyBorder="1" applyAlignment="1">
      <alignment horizontal="center" vertical="top" shrinkToFit="1"/>
    </xf>
    <xf numFmtId="165" fontId="3" fillId="3" borderId="7" xfId="1" applyNumberFormat="1" applyFont="1" applyFill="1" applyBorder="1" applyAlignment="1">
      <alignment horizontal="center" vertical="top" shrinkToFit="1"/>
    </xf>
    <xf numFmtId="164" fontId="3" fillId="3" borderId="7" xfId="1" applyNumberFormat="1" applyFont="1" applyFill="1" applyBorder="1" applyAlignment="1">
      <alignment vertical="top" wrapText="1"/>
    </xf>
    <xf numFmtId="43" fontId="3" fillId="3" borderId="7" xfId="1" applyFont="1" applyFill="1" applyBorder="1" applyAlignment="1">
      <alignment horizontal="center" vertical="top" shrinkToFit="1"/>
    </xf>
    <xf numFmtId="164" fontId="3" fillId="3" borderId="7" xfId="1" applyNumberFormat="1" applyFont="1" applyFill="1" applyBorder="1" applyAlignment="1">
      <alignment horizontal="left" vertical="top" wrapText="1"/>
    </xf>
    <xf numFmtId="0" fontId="5" fillId="3" borderId="7" xfId="0" applyFont="1" applyFill="1" applyBorder="1" applyAlignment="1">
      <alignment horizontal="center" vertical="top" wrapText="1"/>
    </xf>
    <xf numFmtId="165" fontId="10" fillId="3" borderId="7" xfId="1" applyNumberFormat="1" applyFont="1" applyFill="1" applyBorder="1" applyAlignment="1">
      <alignment horizontal="center" vertical="top" wrapText="1"/>
    </xf>
    <xf numFmtId="164" fontId="3" fillId="3" borderId="25" xfId="1" applyNumberFormat="1" applyFont="1" applyFill="1" applyBorder="1" applyAlignment="1">
      <alignment horizontal="center" vertical="top" shrinkToFit="1"/>
    </xf>
    <xf numFmtId="164" fontId="3" fillId="3" borderId="25" xfId="1" applyNumberFormat="1" applyFont="1" applyFill="1" applyBorder="1" applyAlignment="1">
      <alignment vertical="top" wrapText="1"/>
    </xf>
    <xf numFmtId="164" fontId="3" fillId="3" borderId="17" xfId="1" applyNumberFormat="1" applyFont="1" applyFill="1" applyBorder="1" applyAlignment="1">
      <alignment horizontal="center" vertical="top" shrinkToFit="1"/>
    </xf>
    <xf numFmtId="168" fontId="5" fillId="3" borderId="17" xfId="1" applyNumberFormat="1" applyFont="1" applyFill="1" applyBorder="1" applyAlignment="1">
      <alignment horizontal="center" vertical="top" wrapText="1"/>
    </xf>
    <xf numFmtId="49" fontId="3" fillId="3" borderId="17" xfId="1" applyNumberFormat="1" applyFont="1" applyFill="1" applyBorder="1" applyAlignment="1">
      <alignment horizontal="center" vertical="top" shrinkToFit="1"/>
    </xf>
    <xf numFmtId="165" fontId="3" fillId="3" borderId="17" xfId="1" applyNumberFormat="1" applyFont="1" applyFill="1" applyBorder="1" applyAlignment="1">
      <alignment horizontal="center" vertical="top" shrinkToFit="1"/>
    </xf>
    <xf numFmtId="164" fontId="3" fillId="3" borderId="17" xfId="1" applyNumberFormat="1" applyFont="1" applyFill="1" applyBorder="1" applyAlignment="1">
      <alignment vertical="top" wrapText="1"/>
    </xf>
    <xf numFmtId="43" fontId="3" fillId="3" borderId="17" xfId="1" applyFont="1" applyFill="1" applyBorder="1" applyAlignment="1">
      <alignment horizontal="center" vertical="top" shrinkToFit="1"/>
    </xf>
    <xf numFmtId="164" fontId="3" fillId="3" borderId="17" xfId="1" applyNumberFormat="1" applyFont="1" applyFill="1" applyBorder="1" applyAlignment="1">
      <alignment horizontal="left" vertical="top" wrapText="1"/>
    </xf>
    <xf numFmtId="0" fontId="5" fillId="3" borderId="17" xfId="0" applyFont="1" applyFill="1" applyBorder="1" applyAlignment="1">
      <alignment horizontal="center" vertical="top" wrapText="1"/>
    </xf>
    <xf numFmtId="165" fontId="10" fillId="3" borderId="17" xfId="1" applyNumberFormat="1" applyFont="1" applyFill="1" applyBorder="1" applyAlignment="1">
      <alignment horizontal="center" vertical="top" wrapText="1"/>
    </xf>
    <xf numFmtId="43" fontId="3" fillId="3" borderId="13" xfId="1" applyFont="1" applyFill="1" applyBorder="1" applyAlignment="1">
      <alignment shrinkToFit="1"/>
    </xf>
    <xf numFmtId="164" fontId="3" fillId="3" borderId="13" xfId="1" applyNumberFormat="1" applyFont="1" applyFill="1" applyBorder="1" applyAlignment="1">
      <alignment shrinkToFit="1"/>
    </xf>
    <xf numFmtId="164" fontId="3" fillId="3" borderId="13" xfId="1" applyNumberFormat="1" applyFont="1" applyFill="1" applyBorder="1" applyAlignment="1">
      <alignment horizontal="center" shrinkToFit="1"/>
    </xf>
    <xf numFmtId="164" fontId="3" fillId="3" borderId="14" xfId="1" applyNumberFormat="1" applyFont="1" applyFill="1" applyBorder="1" applyAlignment="1">
      <alignment shrinkToFit="1"/>
    </xf>
    <xf numFmtId="164" fontId="3" fillId="3" borderId="10" xfId="1" applyNumberFormat="1" applyFont="1" applyFill="1" applyBorder="1" applyAlignment="1">
      <alignment vertical="top" wrapText="1"/>
    </xf>
    <xf numFmtId="165" fontId="3" fillId="3" borderId="5" xfId="1" applyNumberFormat="1" applyFont="1" applyFill="1" applyBorder="1" applyAlignment="1">
      <alignment horizontal="center" vertical="top" shrinkToFit="1"/>
    </xf>
    <xf numFmtId="43" fontId="3" fillId="3" borderId="5" xfId="1" applyFont="1" applyFill="1" applyBorder="1" applyAlignment="1">
      <alignment horizontal="center" vertical="top" shrinkToFit="1"/>
    </xf>
    <xf numFmtId="165" fontId="10" fillId="3" borderId="5" xfId="1" applyNumberFormat="1" applyFont="1" applyFill="1" applyBorder="1" applyAlignment="1">
      <alignment horizontal="center" vertical="top" wrapText="1"/>
    </xf>
    <xf numFmtId="164" fontId="10" fillId="3" borderId="5" xfId="1" applyNumberFormat="1" applyFont="1" applyFill="1" applyBorder="1" applyAlignment="1">
      <alignment horizontal="center" vertical="top" wrapText="1"/>
    </xf>
    <xf numFmtId="43" fontId="3" fillId="3" borderId="20" xfId="1" applyFont="1" applyFill="1" applyBorder="1" applyAlignment="1">
      <alignment shrinkToFit="1"/>
    </xf>
    <xf numFmtId="164" fontId="3" fillId="3" borderId="20" xfId="1" applyNumberFormat="1" applyFont="1" applyFill="1" applyBorder="1" applyAlignment="1">
      <alignment shrinkToFit="1"/>
    </xf>
    <xf numFmtId="164" fontId="3" fillId="3" borderId="20" xfId="1" applyNumberFormat="1" applyFont="1" applyFill="1" applyBorder="1" applyAlignment="1">
      <alignment horizontal="center" shrinkToFit="1"/>
    </xf>
    <xf numFmtId="164" fontId="3" fillId="3" borderId="24" xfId="1" applyNumberFormat="1" applyFont="1" applyFill="1" applyBorder="1" applyAlignment="1">
      <alignment shrinkToFit="1"/>
    </xf>
    <xf numFmtId="164" fontId="7" fillId="3" borderId="23" xfId="1" applyNumberFormat="1" applyFont="1" applyFill="1" applyBorder="1" applyAlignment="1">
      <alignment horizontal="center" vertical="top" shrinkToFit="1"/>
    </xf>
    <xf numFmtId="43" fontId="3" fillId="3" borderId="0" xfId="1" applyFont="1" applyFill="1" applyBorder="1" applyAlignment="1">
      <alignment shrinkToFit="1"/>
    </xf>
    <xf numFmtId="0" fontId="3" fillId="3" borderId="17" xfId="0" applyFont="1" applyFill="1" applyBorder="1" applyAlignment="1">
      <alignment vertical="top" wrapText="1"/>
    </xf>
    <xf numFmtId="0" fontId="5" fillId="3" borderId="17" xfId="0" applyFont="1" applyFill="1" applyBorder="1" applyAlignment="1">
      <alignment vertical="top" wrapText="1"/>
    </xf>
    <xf numFmtId="164" fontId="5" fillId="3" borderId="7" xfId="1" applyNumberFormat="1" applyFont="1" applyFill="1" applyBorder="1" applyAlignment="1">
      <alignment horizontal="center" vertical="top" wrapText="1"/>
    </xf>
    <xf numFmtId="164" fontId="5" fillId="3" borderId="17" xfId="1" applyNumberFormat="1" applyFont="1" applyFill="1" applyBorder="1" applyAlignment="1">
      <alignment horizontal="center" vertical="top" wrapText="1"/>
    </xf>
    <xf numFmtId="164" fontId="3" fillId="0" borderId="3" xfId="1" applyNumberFormat="1" applyFont="1" applyBorder="1" applyAlignment="1">
      <alignment vertical="top" wrapText="1"/>
    </xf>
    <xf numFmtId="164" fontId="3" fillId="2" borderId="9" xfId="1" applyNumberFormat="1" applyFont="1" applyFill="1" applyBorder="1" applyAlignment="1">
      <alignment vertical="top" wrapText="1" shrinkToFit="1"/>
    </xf>
    <xf numFmtId="164" fontId="3" fillId="2" borderId="9" xfId="1" applyNumberFormat="1" applyFont="1" applyFill="1" applyBorder="1" applyAlignment="1">
      <alignment horizontal="center" vertical="top" wrapText="1" shrinkToFit="1"/>
    </xf>
    <xf numFmtId="164" fontId="3" fillId="0" borderId="9" xfId="1" applyNumberFormat="1" applyFont="1" applyBorder="1" applyAlignment="1">
      <alignment horizontal="center" vertical="top" wrapText="1" shrinkToFit="1"/>
    </xf>
    <xf numFmtId="164" fontId="3" fillId="3" borderId="9" xfId="1" applyNumberFormat="1" applyFont="1" applyFill="1" applyBorder="1" applyAlignment="1">
      <alignment vertical="top" wrapText="1" shrinkToFit="1"/>
    </xf>
    <xf numFmtId="164" fontId="3" fillId="3" borderId="9" xfId="1" applyNumberFormat="1" applyFont="1" applyFill="1" applyBorder="1" applyAlignment="1">
      <alignment horizontal="center" vertical="top" wrapText="1" shrinkToFit="1"/>
    </xf>
    <xf numFmtId="168" fontId="3" fillId="3" borderId="0" xfId="1" applyNumberFormat="1" applyFont="1" applyFill="1" applyBorder="1" applyAlignment="1">
      <alignment horizontal="center" vertical="top" shrinkToFit="1"/>
    </xf>
    <xf numFmtId="164" fontId="3" fillId="3" borderId="0" xfId="1" applyNumberFormat="1" applyFont="1" applyFill="1" applyBorder="1" applyAlignment="1">
      <alignment horizontal="center" vertical="top"/>
    </xf>
    <xf numFmtId="164" fontId="3" fillId="3" borderId="15" xfId="1" applyNumberFormat="1" applyFont="1" applyFill="1" applyBorder="1" applyAlignment="1">
      <alignment vertical="top" shrinkToFit="1"/>
    </xf>
    <xf numFmtId="164" fontId="16" fillId="3" borderId="3" xfId="1" applyNumberFormat="1" applyFont="1" applyFill="1" applyBorder="1" applyAlignment="1">
      <alignment vertical="top" shrinkToFit="1"/>
    </xf>
    <xf numFmtId="164" fontId="15" fillId="3" borderId="0" xfId="1" applyNumberFormat="1" applyFont="1" applyFill="1" applyAlignment="1">
      <alignment shrinkToFit="1"/>
    </xf>
    <xf numFmtId="168" fontId="16" fillId="3" borderId="3" xfId="1" applyNumberFormat="1" applyFont="1" applyFill="1" applyBorder="1" applyAlignment="1">
      <alignment horizontal="center" vertical="top" shrinkToFit="1"/>
    </xf>
    <xf numFmtId="49" fontId="16" fillId="3" borderId="3" xfId="1" applyNumberFormat="1" applyFont="1" applyFill="1" applyBorder="1" applyAlignment="1">
      <alignment horizontal="center" vertical="top" shrinkToFit="1"/>
    </xf>
    <xf numFmtId="164" fontId="16" fillId="3" borderId="3" xfId="1" applyNumberFormat="1" applyFont="1" applyFill="1" applyBorder="1" applyAlignment="1">
      <alignment vertical="top" wrapText="1"/>
    </xf>
    <xf numFmtId="164" fontId="16" fillId="3" borderId="3" xfId="1" applyNumberFormat="1" applyFont="1" applyFill="1" applyBorder="1" applyAlignment="1">
      <alignment horizontal="center" vertical="top" shrinkToFit="1"/>
    </xf>
    <xf numFmtId="165" fontId="16" fillId="3" borderId="3" xfId="1" applyNumberFormat="1" applyFont="1" applyFill="1" applyBorder="1" applyAlignment="1">
      <alignment horizontal="center" vertical="top" shrinkToFit="1"/>
    </xf>
    <xf numFmtId="164" fontId="17" fillId="3" borderId="3" xfId="1" applyNumberFormat="1" applyFont="1" applyFill="1" applyBorder="1" applyAlignment="1">
      <alignment horizontal="center" vertical="top" wrapText="1"/>
    </xf>
    <xf numFmtId="164" fontId="16" fillId="3" borderId="3" xfId="1" applyNumberFormat="1" applyFont="1" applyFill="1" applyBorder="1" applyAlignment="1">
      <alignment horizontal="center" vertical="top"/>
    </xf>
    <xf numFmtId="164" fontId="18" fillId="3" borderId="0" xfId="1" applyNumberFormat="1" applyFont="1" applyFill="1" applyBorder="1" applyAlignment="1">
      <alignment horizontal="center" vertical="top" shrinkToFit="1"/>
    </xf>
    <xf numFmtId="164" fontId="18" fillId="3" borderId="0" xfId="1" applyNumberFormat="1" applyFont="1" applyFill="1" applyAlignment="1">
      <alignment horizontal="left" vertical="top" shrinkToFit="1"/>
    </xf>
    <xf numFmtId="164" fontId="18" fillId="3" borderId="0" xfId="1" applyNumberFormat="1" applyFont="1" applyFill="1" applyAlignment="1">
      <alignment horizontal="center" vertical="top" shrinkToFit="1"/>
    </xf>
    <xf numFmtId="168" fontId="3" fillId="3" borderId="0" xfId="1" applyNumberFormat="1" applyFont="1" applyFill="1" applyBorder="1" applyAlignment="1">
      <alignment horizontal="center" shrinkToFit="1"/>
    </xf>
    <xf numFmtId="49" fontId="3" fillId="3" borderId="0" xfId="1" applyNumberFormat="1" applyFont="1" applyFill="1" applyBorder="1" applyAlignment="1">
      <alignment horizontal="center" shrinkToFit="1"/>
    </xf>
    <xf numFmtId="164" fontId="3" fillId="3" borderId="0" xfId="1" applyNumberFormat="1" applyFont="1" applyFill="1" applyBorder="1" applyAlignment="1">
      <alignment horizontal="center"/>
    </xf>
    <xf numFmtId="168" fontId="3" fillId="3" borderId="0" xfId="1" applyNumberFormat="1" applyFont="1" applyFill="1" applyBorder="1" applyAlignment="1">
      <alignment shrinkToFit="1"/>
    </xf>
    <xf numFmtId="164" fontId="3" fillId="3" borderId="0" xfId="1" applyNumberFormat="1" applyFont="1" applyFill="1" applyBorder="1" applyAlignment="1"/>
    <xf numFmtId="164" fontId="7" fillId="3" borderId="0" xfId="1" applyNumberFormat="1" applyFont="1" applyFill="1" applyBorder="1" applyAlignment="1">
      <alignment shrinkToFit="1"/>
    </xf>
    <xf numFmtId="168" fontId="7" fillId="3" borderId="0" xfId="1" applyNumberFormat="1" applyFont="1" applyFill="1" applyBorder="1" applyAlignment="1">
      <alignment horizontal="center" shrinkToFit="1"/>
    </xf>
    <xf numFmtId="49" fontId="7" fillId="3" borderId="0" xfId="1" applyNumberFormat="1" applyFont="1" applyFill="1" applyBorder="1" applyAlignment="1">
      <alignment horizontal="center" shrinkToFit="1"/>
    </xf>
    <xf numFmtId="164" fontId="7" fillId="3" borderId="0" xfId="1" applyNumberFormat="1" applyFont="1" applyFill="1" applyBorder="1" applyAlignment="1">
      <alignment horizontal="center" shrinkToFit="1"/>
    </xf>
    <xf numFmtId="164" fontId="7" fillId="3" borderId="0" xfId="1" applyNumberFormat="1" applyFont="1" applyFill="1" applyBorder="1" applyAlignment="1">
      <alignment horizontal="center"/>
    </xf>
    <xf numFmtId="165" fontId="3" fillId="3" borderId="15" xfId="1" applyNumberFormat="1" applyFont="1" applyFill="1" applyBorder="1" applyAlignment="1">
      <alignment vertical="top" shrinkToFit="1"/>
    </xf>
    <xf numFmtId="164" fontId="3" fillId="3" borderId="15" xfId="1" applyNumberFormat="1" applyFont="1" applyFill="1" applyBorder="1" applyAlignment="1">
      <alignment horizontal="center" vertical="top" wrapText="1"/>
    </xf>
    <xf numFmtId="164" fontId="3" fillId="3" borderId="7" xfId="1" applyNumberFormat="1" applyFont="1" applyFill="1" applyBorder="1" applyAlignment="1">
      <alignment horizontal="center" vertical="top" wrapText="1"/>
    </xf>
    <xf numFmtId="165" fontId="3" fillId="3" borderId="20" xfId="1" applyNumberFormat="1" applyFont="1" applyFill="1" applyBorder="1" applyAlignment="1">
      <alignment vertical="top" shrinkToFit="1"/>
    </xf>
    <xf numFmtId="164" fontId="3" fillId="3" borderId="20" xfId="1" applyNumberFormat="1" applyFont="1" applyFill="1" applyBorder="1" applyAlignment="1">
      <alignment vertical="top" wrapText="1"/>
    </xf>
    <xf numFmtId="164" fontId="3" fillId="3" borderId="20" xfId="1" applyNumberFormat="1" applyFont="1" applyFill="1" applyBorder="1" applyAlignment="1">
      <alignment horizontal="center" vertical="top" wrapText="1"/>
    </xf>
    <xf numFmtId="164" fontId="10" fillId="3" borderId="17" xfId="1" applyNumberFormat="1" applyFont="1" applyFill="1" applyBorder="1" applyAlignment="1">
      <alignment horizontal="center" vertical="top" wrapText="1"/>
    </xf>
    <xf numFmtId="164" fontId="6" fillId="3" borderId="0" xfId="1" applyNumberFormat="1" applyFont="1" applyFill="1" applyBorder="1" applyAlignment="1">
      <alignment horizontal="center" vertical="top" wrapText="1"/>
    </xf>
    <xf numFmtId="43" fontId="3" fillId="3" borderId="8" xfId="1" applyFont="1" applyFill="1" applyBorder="1" applyAlignment="1">
      <alignment shrinkToFit="1"/>
    </xf>
    <xf numFmtId="164" fontId="3" fillId="3" borderId="8" xfId="1" applyNumberFormat="1" applyFont="1" applyFill="1" applyBorder="1" applyAlignment="1">
      <alignment shrinkToFit="1"/>
    </xf>
    <xf numFmtId="164" fontId="3" fillId="3" borderId="8" xfId="1" applyNumberFormat="1" applyFont="1" applyFill="1" applyBorder="1" applyAlignment="1">
      <alignment horizontal="center" shrinkToFit="1"/>
    </xf>
    <xf numFmtId="164" fontId="3" fillId="0" borderId="0" xfId="1" applyNumberFormat="1" applyFont="1" applyBorder="1" applyAlignment="1">
      <alignment horizontal="left" vertical="top" wrapText="1"/>
    </xf>
    <xf numFmtId="164" fontId="3" fillId="0" borderId="17" xfId="1" applyNumberFormat="1" applyFont="1" applyBorder="1" applyAlignment="1">
      <alignment horizontal="left" vertical="top" wrapText="1"/>
    </xf>
    <xf numFmtId="164" fontId="19" fillId="3" borderId="17" xfId="1" applyNumberFormat="1" applyFont="1" applyFill="1" applyBorder="1" applyAlignment="1">
      <alignment horizontal="center" vertical="top" shrinkToFit="1"/>
    </xf>
    <xf numFmtId="168" fontId="20" fillId="3" borderId="17" xfId="1" applyNumberFormat="1" applyFont="1" applyFill="1" applyBorder="1" applyAlignment="1">
      <alignment horizontal="center" vertical="top" wrapText="1"/>
    </xf>
    <xf numFmtId="49" fontId="19" fillId="3" borderId="17" xfId="1" applyNumberFormat="1" applyFont="1" applyFill="1" applyBorder="1" applyAlignment="1">
      <alignment horizontal="center" vertical="top" shrinkToFit="1"/>
    </xf>
    <xf numFmtId="165" fontId="19" fillId="3" borderId="17" xfId="1" applyNumberFormat="1" applyFont="1" applyFill="1" applyBorder="1" applyAlignment="1">
      <alignment horizontal="center" vertical="top" shrinkToFit="1"/>
    </xf>
    <xf numFmtId="164" fontId="19" fillId="3" borderId="17" xfId="1" applyNumberFormat="1" applyFont="1" applyFill="1" applyBorder="1" applyAlignment="1">
      <alignment vertical="top" wrapText="1"/>
    </xf>
    <xf numFmtId="43" fontId="19" fillId="3" borderId="17" xfId="1" applyFont="1" applyFill="1" applyBorder="1" applyAlignment="1">
      <alignment horizontal="center" vertical="top" shrinkToFit="1"/>
    </xf>
    <xf numFmtId="164" fontId="19" fillId="0" borderId="17" xfId="1" applyNumberFormat="1" applyFont="1" applyBorder="1" applyAlignment="1">
      <alignment horizontal="left" vertical="top" wrapText="1"/>
    </xf>
    <xf numFmtId="0" fontId="20" fillId="3" borderId="17" xfId="0" applyFont="1" applyFill="1" applyBorder="1" applyAlignment="1">
      <alignment horizontal="center" vertical="top" wrapText="1"/>
    </xf>
    <xf numFmtId="165" fontId="21" fillId="3" borderId="17" xfId="1" applyNumberFormat="1" applyFont="1" applyFill="1" applyBorder="1" applyAlignment="1">
      <alignment horizontal="center" vertical="top" wrapText="1"/>
    </xf>
    <xf numFmtId="164" fontId="20" fillId="3" borderId="17" xfId="1" applyNumberFormat="1" applyFont="1" applyFill="1" applyBorder="1" applyAlignment="1">
      <alignment horizontal="center" vertical="top" wrapText="1"/>
    </xf>
    <xf numFmtId="164" fontId="19" fillId="3" borderId="0" xfId="1" applyNumberFormat="1" applyFont="1" applyFill="1" applyBorder="1" applyAlignment="1">
      <alignment vertical="top" wrapText="1"/>
    </xf>
    <xf numFmtId="164" fontId="19" fillId="3" borderId="0" xfId="1" applyNumberFormat="1" applyFont="1" applyFill="1" applyBorder="1" applyAlignment="1">
      <alignment horizontal="center" vertical="top" shrinkToFit="1"/>
    </xf>
    <xf numFmtId="164" fontId="19" fillId="3" borderId="9" xfId="1" applyNumberFormat="1" applyFont="1" applyFill="1" applyBorder="1" applyAlignment="1">
      <alignment horizontal="center" vertical="top" shrinkToFit="1"/>
    </xf>
    <xf numFmtId="168" fontId="3" fillId="3" borderId="15" xfId="1" applyNumberFormat="1" applyFont="1" applyFill="1" applyBorder="1" applyAlignment="1">
      <alignment horizontal="center" vertical="top" shrinkToFit="1"/>
    </xf>
    <xf numFmtId="164" fontId="5" fillId="3" borderId="15" xfId="1" applyNumberFormat="1" applyFont="1" applyFill="1" applyBorder="1" applyAlignment="1">
      <alignment horizontal="center" vertical="top" wrapText="1"/>
    </xf>
    <xf numFmtId="164" fontId="3" fillId="3" borderId="15" xfId="1" applyNumberFormat="1" applyFont="1" applyFill="1" applyBorder="1" applyAlignment="1">
      <alignment horizontal="center" vertical="top"/>
    </xf>
    <xf numFmtId="164" fontId="11" fillId="3" borderId="3" xfId="1" applyNumberFormat="1" applyFont="1" applyFill="1" applyBorder="1" applyAlignment="1">
      <alignment horizontal="center" vertical="top" wrapText="1"/>
    </xf>
    <xf numFmtId="164" fontId="7" fillId="3" borderId="17" xfId="1" applyNumberFormat="1" applyFont="1" applyFill="1" applyBorder="1" applyAlignment="1">
      <alignment horizontal="center" vertical="top" wrapText="1"/>
    </xf>
    <xf numFmtId="165" fontId="5" fillId="3" borderId="3" xfId="1" applyNumberFormat="1" applyFont="1" applyFill="1" applyBorder="1" applyAlignment="1">
      <alignment horizontal="center" vertical="top" wrapText="1"/>
    </xf>
    <xf numFmtId="0" fontId="13" fillId="3" borderId="17" xfId="0" applyFont="1" applyFill="1" applyBorder="1" applyAlignment="1">
      <alignment horizontal="center" vertical="top" wrapText="1"/>
    </xf>
    <xf numFmtId="164" fontId="6" fillId="3" borderId="6" xfId="1" applyNumberFormat="1" applyFont="1" applyFill="1" applyBorder="1" applyAlignment="1">
      <alignment horizontal="left" shrinkToFit="1"/>
    </xf>
    <xf numFmtId="164" fontId="15" fillId="3" borderId="6" xfId="1" applyNumberFormat="1" applyFont="1" applyFill="1" applyBorder="1" applyAlignment="1">
      <alignment shrinkToFit="1"/>
    </xf>
    <xf numFmtId="164" fontId="3" fillId="3" borderId="0" xfId="1" applyNumberFormat="1" applyFont="1" applyFill="1" applyAlignment="1">
      <alignment horizontal="center" vertical="top" shrinkToFit="1"/>
    </xf>
    <xf numFmtId="164" fontId="7" fillId="3" borderId="3" xfId="1" applyNumberFormat="1" applyFont="1" applyFill="1" applyBorder="1" applyAlignment="1">
      <alignment horizontal="center" vertical="top"/>
    </xf>
    <xf numFmtId="164" fontId="7" fillId="3" borderId="3" xfId="1" applyNumberFormat="1" applyFont="1" applyFill="1" applyBorder="1" applyAlignment="1">
      <alignment horizontal="center" vertical="top" wrapText="1"/>
    </xf>
    <xf numFmtId="164" fontId="19" fillId="3" borderId="25" xfId="1" applyNumberFormat="1" applyFont="1" applyFill="1" applyBorder="1" applyAlignment="1">
      <alignment horizontal="center" vertical="top" shrinkToFit="1"/>
    </xf>
    <xf numFmtId="168" fontId="20" fillId="3" borderId="0" xfId="1" applyNumberFormat="1" applyFont="1" applyFill="1" applyBorder="1" applyAlignment="1">
      <alignment horizontal="center" vertical="top" wrapText="1"/>
    </xf>
    <xf numFmtId="49" fontId="19" fillId="3" borderId="0" xfId="1" applyNumberFormat="1" applyFont="1" applyFill="1" applyBorder="1" applyAlignment="1">
      <alignment horizontal="center" vertical="top" shrinkToFit="1"/>
    </xf>
    <xf numFmtId="165" fontId="19" fillId="3" borderId="0" xfId="1" applyNumberFormat="1" applyFont="1" applyFill="1" applyBorder="1" applyAlignment="1">
      <alignment horizontal="center" vertical="top" shrinkToFit="1"/>
    </xf>
    <xf numFmtId="43" fontId="19" fillId="3" borderId="0" xfId="1" applyFont="1" applyFill="1" applyBorder="1" applyAlignment="1">
      <alignment horizontal="center" vertical="top" shrinkToFit="1"/>
    </xf>
    <xf numFmtId="0" fontId="13" fillId="3" borderId="0" xfId="0" applyFont="1" applyFill="1" applyAlignment="1">
      <alignment horizontal="center" vertical="top" wrapText="1"/>
    </xf>
    <xf numFmtId="165" fontId="21" fillId="3" borderId="0" xfId="1" applyNumberFormat="1" applyFont="1" applyFill="1" applyBorder="1" applyAlignment="1">
      <alignment horizontal="center" vertical="top" wrapText="1"/>
    </xf>
    <xf numFmtId="164" fontId="20" fillId="3" borderId="0" xfId="1" applyNumberFormat="1" applyFont="1" applyFill="1" applyBorder="1" applyAlignment="1">
      <alignment horizontal="center" vertical="top" wrapText="1"/>
    </xf>
    <xf numFmtId="0" fontId="5" fillId="3" borderId="7" xfId="0" applyFont="1" applyFill="1" applyBorder="1" applyAlignment="1">
      <alignment vertical="top" wrapText="1"/>
    </xf>
    <xf numFmtId="164" fontId="3" fillId="3" borderId="17" xfId="1" applyNumberFormat="1" applyFont="1" applyFill="1" applyBorder="1" applyAlignment="1">
      <alignment vertical="top" shrinkToFit="1"/>
    </xf>
    <xf numFmtId="168" fontId="3" fillId="3" borderId="5" xfId="1" applyNumberFormat="1" applyFont="1" applyFill="1" applyBorder="1" applyAlignment="1">
      <alignment horizontal="center" vertical="top" shrinkToFit="1"/>
    </xf>
    <xf numFmtId="164" fontId="3" fillId="3" borderId="5" xfId="1" applyNumberFormat="1" applyFont="1" applyFill="1" applyBorder="1" applyAlignment="1">
      <alignment horizontal="center" vertical="top"/>
    </xf>
    <xf numFmtId="164" fontId="5" fillId="3" borderId="5" xfId="1" applyNumberFormat="1" applyFont="1" applyFill="1" applyBorder="1" applyAlignment="1">
      <alignment horizontal="center" vertical="top" wrapText="1"/>
    </xf>
    <xf numFmtId="164" fontId="3" fillId="3" borderId="0" xfId="1" applyNumberFormat="1" applyFont="1" applyFill="1" applyAlignment="1">
      <alignment horizontal="left" vertical="top" shrinkToFit="1"/>
    </xf>
    <xf numFmtId="164" fontId="6" fillId="3" borderId="1" xfId="1" applyNumberFormat="1" applyFont="1" applyFill="1" applyBorder="1" applyAlignment="1">
      <alignment horizontal="center" shrinkToFit="1"/>
    </xf>
    <xf numFmtId="164" fontId="6" fillId="3" borderId="1" xfId="1" applyNumberFormat="1" applyFont="1" applyFill="1" applyBorder="1" applyAlignment="1">
      <alignment horizontal="center" vertical="center" shrinkToFit="1"/>
    </xf>
    <xf numFmtId="164" fontId="6" fillId="3" borderId="27" xfId="1" applyNumberFormat="1" applyFont="1" applyFill="1" applyBorder="1" applyAlignment="1">
      <alignment horizontal="center"/>
    </xf>
    <xf numFmtId="165" fontId="3" fillId="3" borderId="17" xfId="1" applyNumberFormat="1" applyFont="1" applyFill="1" applyBorder="1" applyAlignment="1">
      <alignment vertical="top" shrinkToFit="1"/>
    </xf>
    <xf numFmtId="164" fontId="3" fillId="3" borderId="17" xfId="1" applyNumberFormat="1" applyFont="1" applyFill="1" applyBorder="1" applyAlignment="1">
      <alignment horizontal="center" vertical="top" wrapText="1"/>
    </xf>
    <xf numFmtId="164" fontId="3" fillId="0" borderId="21" xfId="1" applyNumberFormat="1" applyFont="1" applyBorder="1" applyAlignment="1">
      <alignment shrinkToFit="1"/>
    </xf>
    <xf numFmtId="164" fontId="3" fillId="0" borderId="21" xfId="1" applyNumberFormat="1" applyFont="1" applyBorder="1" applyAlignment="1">
      <alignment horizontal="center" shrinkToFit="1"/>
    </xf>
    <xf numFmtId="164" fontId="3" fillId="0" borderId="28" xfId="1" applyNumberFormat="1" applyFont="1" applyBorder="1" applyAlignment="1">
      <alignment shrinkToFit="1"/>
    </xf>
    <xf numFmtId="164" fontId="3" fillId="0" borderId="17" xfId="1" applyNumberFormat="1" applyFont="1" applyBorder="1" applyAlignment="1">
      <alignment horizontal="center" vertical="top" shrinkToFit="1"/>
    </xf>
    <xf numFmtId="168" fontId="3" fillId="0" borderId="17" xfId="1" applyNumberFormat="1" applyFont="1" applyBorder="1" applyAlignment="1">
      <alignment horizontal="center" vertical="top" shrinkToFit="1"/>
    </xf>
    <xf numFmtId="49" fontId="3" fillId="0" borderId="17" xfId="1" applyNumberFormat="1" applyFont="1" applyBorder="1" applyAlignment="1">
      <alignment horizontal="center" vertical="top" shrinkToFit="1"/>
    </xf>
    <xf numFmtId="165" fontId="3" fillId="0" borderId="17" xfId="1" applyNumberFormat="1" applyFont="1" applyBorder="1" applyAlignment="1">
      <alignment horizontal="center" vertical="top" shrinkToFit="1"/>
    </xf>
    <xf numFmtId="164" fontId="3" fillId="0" borderId="17" xfId="1" applyNumberFormat="1" applyFont="1" applyBorder="1" applyAlignment="1">
      <alignment vertical="top" wrapText="1"/>
    </xf>
    <xf numFmtId="165" fontId="5" fillId="0" borderId="17" xfId="1" applyNumberFormat="1" applyFont="1" applyBorder="1" applyAlignment="1">
      <alignment horizontal="center" vertical="top" wrapText="1"/>
    </xf>
    <xf numFmtId="164" fontId="3" fillId="0" borderId="23" xfId="1" applyNumberFormat="1" applyFont="1" applyBorder="1" applyAlignment="1">
      <alignment horizontal="center" vertical="top" shrinkToFit="1"/>
    </xf>
    <xf numFmtId="165" fontId="5" fillId="3" borderId="7" xfId="1" applyNumberFormat="1" applyFont="1" applyFill="1" applyBorder="1" applyAlignment="1">
      <alignment horizontal="center" vertical="top" wrapText="1"/>
    </xf>
    <xf numFmtId="164" fontId="19" fillId="3" borderId="3" xfId="1" applyNumberFormat="1" applyFont="1" applyFill="1" applyBorder="1" applyAlignment="1">
      <alignment horizontal="left" vertical="top" wrapText="1"/>
    </xf>
    <xf numFmtId="164" fontId="6" fillId="3" borderId="7" xfId="1" applyNumberFormat="1" applyFont="1" applyFill="1" applyBorder="1" applyAlignment="1">
      <alignment horizontal="center" shrinkToFit="1"/>
    </xf>
    <xf numFmtId="164" fontId="6" fillId="3" borderId="7" xfId="1" applyNumberFormat="1" applyFont="1" applyFill="1" applyBorder="1" applyAlignment="1">
      <alignment horizontal="center" vertical="center" shrinkToFit="1"/>
    </xf>
    <xf numFmtId="168" fontId="3" fillId="3" borderId="20" xfId="1" applyNumberFormat="1" applyFont="1" applyFill="1" applyBorder="1" applyAlignment="1">
      <alignment horizontal="center" vertical="top" shrinkToFit="1"/>
    </xf>
    <xf numFmtId="164" fontId="3" fillId="3" borderId="20" xfId="1" applyNumberFormat="1" applyFont="1" applyFill="1" applyBorder="1" applyAlignment="1">
      <alignment horizontal="center" vertical="top"/>
    </xf>
    <xf numFmtId="164" fontId="3" fillId="3" borderId="6" xfId="1" applyNumberFormat="1" applyFont="1" applyFill="1" applyBorder="1" applyAlignment="1">
      <alignment shrinkToFit="1"/>
    </xf>
    <xf numFmtId="164" fontId="3" fillId="3" borderId="6" xfId="1" applyNumberFormat="1" applyFont="1" applyFill="1" applyBorder="1" applyAlignment="1">
      <alignment horizontal="left" shrinkToFit="1"/>
    </xf>
    <xf numFmtId="164" fontId="6" fillId="3" borderId="6" xfId="1" applyNumberFormat="1" applyFont="1" applyFill="1" applyBorder="1" applyAlignment="1">
      <alignment shrinkToFit="1"/>
    </xf>
    <xf numFmtId="168" fontId="3" fillId="3" borderId="17" xfId="1" applyNumberFormat="1" applyFont="1" applyFill="1" applyBorder="1" applyAlignment="1">
      <alignment horizontal="center" vertical="top" shrinkToFit="1"/>
    </xf>
    <xf numFmtId="164" fontId="3" fillId="3" borderId="17" xfId="1" applyNumberFormat="1" applyFont="1" applyFill="1" applyBorder="1" applyAlignment="1">
      <alignment horizontal="center" vertical="top"/>
    </xf>
    <xf numFmtId="164" fontId="25" fillId="3" borderId="0" xfId="1" applyNumberFormat="1" applyFont="1" applyFill="1" applyBorder="1" applyAlignment="1">
      <alignment shrinkToFit="1"/>
    </xf>
    <xf numFmtId="164" fontId="26" fillId="3" borderId="0" xfId="1" applyNumberFormat="1" applyFont="1" applyFill="1" applyAlignment="1">
      <alignment shrinkToFit="1"/>
    </xf>
    <xf numFmtId="164" fontId="3" fillId="3" borderId="25" xfId="1" applyNumberFormat="1" applyFont="1" applyFill="1" applyBorder="1" applyAlignment="1">
      <alignment vertical="top" shrinkToFit="1"/>
    </xf>
    <xf numFmtId="0" fontId="3" fillId="3" borderId="20" xfId="0" applyFont="1" applyFill="1" applyBorder="1" applyAlignment="1">
      <alignment vertical="top" wrapText="1"/>
    </xf>
    <xf numFmtId="164" fontId="3" fillId="3" borderId="6" xfId="1" applyNumberFormat="1" applyFont="1" applyFill="1" applyBorder="1" applyAlignment="1">
      <alignment horizontal="center" shrinkToFit="1"/>
    </xf>
    <xf numFmtId="169" fontId="6" fillId="0" borderId="0" xfId="1" applyNumberFormat="1" applyFont="1" applyAlignment="1">
      <alignment shrinkToFit="1"/>
    </xf>
    <xf numFmtId="169" fontId="6" fillId="0" borderId="9" xfId="1" applyNumberFormat="1" applyFont="1" applyBorder="1" applyAlignment="1">
      <alignment horizontal="center" vertical="top" shrinkToFit="1"/>
    </xf>
    <xf numFmtId="169" fontId="6" fillId="0" borderId="9" xfId="1" applyNumberFormat="1" applyFont="1" applyBorder="1" applyAlignment="1">
      <alignment horizontal="center" shrinkToFit="1"/>
    </xf>
    <xf numFmtId="164" fontId="6" fillId="3" borderId="6" xfId="1" applyNumberFormat="1" applyFont="1" applyFill="1" applyBorder="1" applyAlignment="1">
      <alignment horizontal="center" vertical="center" shrinkToFit="1"/>
    </xf>
    <xf numFmtId="164" fontId="6" fillId="3" borderId="22" xfId="1" applyNumberFormat="1" applyFont="1" applyFill="1" applyBorder="1" applyAlignment="1">
      <alignment horizontal="center" shrinkToFit="1"/>
    </xf>
    <xf numFmtId="164" fontId="6" fillId="3" borderId="22" xfId="1" applyNumberFormat="1" applyFont="1" applyFill="1" applyBorder="1" applyAlignment="1">
      <alignment horizontal="center" vertical="center" shrinkToFit="1"/>
    </xf>
    <xf numFmtId="164" fontId="3" fillId="3" borderId="25" xfId="1" applyNumberFormat="1" applyFont="1" applyFill="1" applyBorder="1" applyAlignment="1">
      <alignment horizontal="center" vertical="top" wrapText="1"/>
    </xf>
    <xf numFmtId="164" fontId="3" fillId="3" borderId="0" xfId="1" applyNumberFormat="1" applyFont="1" applyFill="1" applyAlignment="1">
      <alignment horizontal="center" vertical="top" wrapText="1"/>
    </xf>
    <xf numFmtId="0" fontId="20" fillId="3" borderId="0" xfId="0" applyFont="1" applyFill="1" applyAlignment="1">
      <alignment horizontal="center" vertical="top" wrapText="1"/>
    </xf>
    <xf numFmtId="164" fontId="3" fillId="0" borderId="0" xfId="1" applyNumberFormat="1" applyFont="1" applyBorder="1" applyAlignment="1">
      <alignment horizontal="center" shrinkToFit="1"/>
    </xf>
    <xf numFmtId="164" fontId="3" fillId="3" borderId="6" xfId="1" applyNumberFormat="1" applyFont="1" applyFill="1" applyBorder="1" applyAlignment="1">
      <alignment vertical="top" shrinkToFit="1"/>
    </xf>
    <xf numFmtId="168" fontId="5" fillId="3" borderId="6" xfId="1" applyNumberFormat="1" applyFont="1" applyFill="1" applyBorder="1" applyAlignment="1">
      <alignment horizontal="center" vertical="top" wrapText="1"/>
    </xf>
    <xf numFmtId="165" fontId="3" fillId="3" borderId="6" xfId="1" applyNumberFormat="1" applyFont="1" applyFill="1" applyBorder="1" applyAlignment="1">
      <alignment vertical="top" shrinkToFit="1"/>
    </xf>
    <xf numFmtId="49" fontId="3" fillId="3" borderId="6" xfId="1" applyNumberFormat="1" applyFont="1" applyFill="1" applyBorder="1" applyAlignment="1">
      <alignment horizontal="center" vertical="top" shrinkToFit="1"/>
    </xf>
    <xf numFmtId="164" fontId="3" fillId="3" borderId="6" xfId="1" applyNumberFormat="1" applyFont="1" applyFill="1" applyBorder="1" applyAlignment="1">
      <alignment vertical="top" wrapText="1"/>
    </xf>
    <xf numFmtId="164" fontId="3" fillId="3" borderId="6" xfId="1" applyNumberFormat="1" applyFont="1" applyFill="1" applyBorder="1" applyAlignment="1">
      <alignment horizontal="center" vertical="top" shrinkToFit="1"/>
    </xf>
    <xf numFmtId="164" fontId="3" fillId="3" borderId="6" xfId="1" applyNumberFormat="1" applyFont="1" applyFill="1" applyBorder="1" applyAlignment="1">
      <alignment horizontal="center" vertical="top" wrapText="1"/>
    </xf>
    <xf numFmtId="164" fontId="3" fillId="3" borderId="1" xfId="1" applyNumberFormat="1" applyFont="1" applyFill="1" applyBorder="1" applyAlignment="1">
      <alignment vertical="top" shrinkToFit="1"/>
    </xf>
    <xf numFmtId="168" fontId="5" fillId="3" borderId="1" xfId="1" applyNumberFormat="1" applyFont="1" applyFill="1" applyBorder="1" applyAlignment="1">
      <alignment horizontal="center" vertical="top" wrapText="1"/>
    </xf>
    <xf numFmtId="165" fontId="3" fillId="3" borderId="1" xfId="1" applyNumberFormat="1" applyFont="1" applyFill="1" applyBorder="1" applyAlignment="1">
      <alignment vertical="top" shrinkToFit="1"/>
    </xf>
    <xf numFmtId="49" fontId="3" fillId="3" borderId="1" xfId="1" applyNumberFormat="1" applyFont="1" applyFill="1" applyBorder="1" applyAlignment="1">
      <alignment horizontal="center" vertical="top" shrinkToFit="1"/>
    </xf>
    <xf numFmtId="164" fontId="3" fillId="3" borderId="1" xfId="1" applyNumberFormat="1" applyFont="1" applyFill="1" applyBorder="1" applyAlignment="1">
      <alignment vertical="top" wrapText="1"/>
    </xf>
    <xf numFmtId="164" fontId="3" fillId="3" borderId="1" xfId="1" applyNumberFormat="1" applyFont="1" applyFill="1" applyBorder="1" applyAlignment="1">
      <alignment horizontal="center" vertical="top" shrinkToFit="1"/>
    </xf>
    <xf numFmtId="164" fontId="3" fillId="3" borderId="1" xfId="1" applyNumberFormat="1" applyFont="1" applyFill="1" applyBorder="1" applyAlignment="1">
      <alignment horizontal="center" vertical="top" wrapText="1"/>
    </xf>
    <xf numFmtId="164" fontId="19" fillId="3" borderId="27" xfId="1" applyNumberFormat="1" applyFont="1" applyFill="1" applyBorder="1" applyAlignment="1">
      <alignment vertical="top" wrapText="1"/>
    </xf>
    <xf numFmtId="164" fontId="3" fillId="3" borderId="27" xfId="1" applyNumberFormat="1" applyFont="1" applyFill="1" applyBorder="1" applyAlignment="1">
      <alignment horizontal="left" vertical="top" wrapText="1"/>
    </xf>
    <xf numFmtId="164" fontId="24" fillId="3" borderId="3" xfId="1" applyNumberFormat="1" applyFont="1" applyFill="1" applyBorder="1" applyAlignment="1">
      <alignment horizontal="center" vertical="top" wrapText="1"/>
    </xf>
    <xf numFmtId="164" fontId="20" fillId="3" borderId="17" xfId="1" applyNumberFormat="1" applyFont="1" applyFill="1" applyBorder="1" applyAlignment="1">
      <alignment vertical="top" wrapText="1"/>
    </xf>
    <xf numFmtId="164" fontId="19" fillId="3" borderId="1" xfId="1" applyNumberFormat="1" applyFont="1" applyFill="1" applyBorder="1" applyAlignment="1">
      <alignment vertical="top" wrapText="1"/>
    </xf>
    <xf numFmtId="164" fontId="5" fillId="3" borderId="17" xfId="1" applyNumberFormat="1" applyFont="1" applyFill="1" applyBorder="1" applyAlignment="1">
      <alignment vertical="top" wrapText="1"/>
    </xf>
    <xf numFmtId="164" fontId="19" fillId="3" borderId="17" xfId="1" applyNumberFormat="1" applyFont="1" applyFill="1" applyBorder="1" applyAlignment="1">
      <alignment horizontal="left" vertical="top" wrapText="1"/>
    </xf>
    <xf numFmtId="0" fontId="3" fillId="0" borderId="0" xfId="0" applyFont="1" applyAlignment="1">
      <alignment vertical="top" wrapText="1"/>
    </xf>
    <xf numFmtId="0" fontId="5" fillId="3" borderId="15" xfId="0" applyFont="1" applyFill="1" applyBorder="1" applyAlignment="1">
      <alignment vertical="top" wrapText="1"/>
    </xf>
    <xf numFmtId="164" fontId="19" fillId="3" borderId="17" xfId="1" applyNumberFormat="1" applyFont="1" applyFill="1" applyBorder="1" applyAlignment="1">
      <alignment vertical="top" shrinkToFit="1"/>
    </xf>
    <xf numFmtId="165" fontId="19" fillId="3" borderId="17" xfId="1" applyNumberFormat="1" applyFont="1" applyFill="1" applyBorder="1" applyAlignment="1">
      <alignment vertical="top" shrinkToFit="1"/>
    </xf>
    <xf numFmtId="164" fontId="19" fillId="3" borderId="17" xfId="1" applyNumberFormat="1" applyFont="1" applyFill="1" applyBorder="1" applyAlignment="1">
      <alignment horizontal="center" vertical="top" wrapText="1"/>
    </xf>
    <xf numFmtId="164" fontId="19" fillId="3" borderId="25" xfId="1" applyNumberFormat="1" applyFont="1" applyFill="1" applyBorder="1" applyAlignment="1">
      <alignment vertical="top" wrapText="1"/>
    </xf>
    <xf numFmtId="164" fontId="19" fillId="3" borderId="0" xfId="1" applyNumberFormat="1" applyFont="1" applyFill="1" applyBorder="1" applyAlignment="1">
      <alignment vertical="top" shrinkToFit="1"/>
    </xf>
    <xf numFmtId="164" fontId="19" fillId="3" borderId="0" xfId="1" applyNumberFormat="1" applyFont="1" applyFill="1" applyAlignment="1">
      <alignment vertical="top" wrapText="1"/>
    </xf>
    <xf numFmtId="164" fontId="19" fillId="3" borderId="0" xfId="1" applyNumberFormat="1" applyFont="1" applyFill="1" applyAlignment="1">
      <alignment vertical="top" shrinkToFit="1"/>
    </xf>
    <xf numFmtId="165" fontId="3" fillId="3" borderId="1" xfId="1" applyNumberFormat="1" applyFont="1" applyFill="1" applyBorder="1" applyAlignment="1">
      <alignment horizontal="center" vertical="top" shrinkToFit="1"/>
    </xf>
    <xf numFmtId="43" fontId="3" fillId="3" borderId="1" xfId="1" applyFont="1" applyFill="1" applyBorder="1" applyAlignment="1">
      <alignment horizontal="center" vertical="top" shrinkToFit="1"/>
    </xf>
    <xf numFmtId="0" fontId="3" fillId="3" borderId="15" xfId="0" applyFont="1" applyFill="1" applyBorder="1" applyAlignment="1">
      <alignment vertical="top" wrapText="1"/>
    </xf>
    <xf numFmtId="165" fontId="10" fillId="3" borderId="1" xfId="1" applyNumberFormat="1" applyFont="1" applyFill="1" applyBorder="1" applyAlignment="1">
      <alignment horizontal="center" vertical="top" wrapText="1"/>
    </xf>
    <xf numFmtId="164" fontId="5" fillId="3" borderId="1" xfId="1" applyNumberFormat="1" applyFont="1" applyFill="1" applyBorder="1" applyAlignment="1">
      <alignment horizontal="center" vertical="top" wrapText="1"/>
    </xf>
    <xf numFmtId="164" fontId="3" fillId="3" borderId="27" xfId="1" applyNumberFormat="1" applyFont="1" applyFill="1" applyBorder="1" applyAlignment="1">
      <alignment horizontal="center" vertical="top" shrinkToFit="1"/>
    </xf>
    <xf numFmtId="168" fontId="5" fillId="3" borderId="27" xfId="1" applyNumberFormat="1" applyFont="1" applyFill="1" applyBorder="1" applyAlignment="1">
      <alignment horizontal="center" vertical="top" wrapText="1"/>
    </xf>
    <xf numFmtId="49" fontId="3" fillId="3" borderId="27" xfId="1" applyNumberFormat="1" applyFont="1" applyFill="1" applyBorder="1" applyAlignment="1">
      <alignment horizontal="center" vertical="top" shrinkToFit="1"/>
    </xf>
    <xf numFmtId="165" fontId="3" fillId="3" borderId="27" xfId="1" applyNumberFormat="1" applyFont="1" applyFill="1" applyBorder="1" applyAlignment="1">
      <alignment horizontal="center" vertical="top" shrinkToFit="1"/>
    </xf>
    <xf numFmtId="164" fontId="5" fillId="3" borderId="27" xfId="1" applyNumberFormat="1" applyFont="1" applyFill="1" applyBorder="1" applyAlignment="1">
      <alignment vertical="top" wrapText="1"/>
    </xf>
    <xf numFmtId="43" fontId="3" fillId="3" borderId="27" xfId="1" applyFont="1" applyFill="1" applyBorder="1" applyAlignment="1">
      <alignment horizontal="center" vertical="top" shrinkToFit="1"/>
    </xf>
    <xf numFmtId="164" fontId="19" fillId="3" borderId="27" xfId="1" applyNumberFormat="1" applyFont="1" applyFill="1" applyBorder="1" applyAlignment="1">
      <alignment horizontal="left" vertical="top" wrapText="1"/>
    </xf>
    <xf numFmtId="165" fontId="10" fillId="3" borderId="27" xfId="1" applyNumberFormat="1" applyFont="1" applyFill="1" applyBorder="1" applyAlignment="1">
      <alignment horizontal="center" vertical="top" wrapText="1"/>
    </xf>
    <xf numFmtId="164" fontId="5" fillId="3" borderId="27" xfId="1" applyNumberFormat="1" applyFont="1" applyFill="1" applyBorder="1" applyAlignment="1">
      <alignment horizontal="center" vertical="top" wrapText="1"/>
    </xf>
    <xf numFmtId="164" fontId="6" fillId="3" borderId="27" xfId="1" applyNumberFormat="1" applyFont="1" applyFill="1" applyBorder="1" applyAlignment="1">
      <alignment horizontal="center" shrinkToFit="1"/>
    </xf>
    <xf numFmtId="164" fontId="6" fillId="3" borderId="27" xfId="1" applyNumberFormat="1" applyFont="1" applyFill="1" applyBorder="1" applyAlignment="1">
      <alignment horizontal="center" vertical="center" shrinkToFit="1"/>
    </xf>
    <xf numFmtId="164" fontId="3" fillId="0" borderId="30" xfId="1" applyNumberFormat="1" applyFont="1" applyBorder="1" applyAlignment="1">
      <alignment shrinkToFit="1"/>
    </xf>
    <xf numFmtId="164" fontId="3" fillId="0" borderId="0" xfId="1" applyNumberFormat="1" applyFont="1" applyBorder="1" applyAlignment="1">
      <alignment horizontal="center" vertical="top" shrinkToFit="1"/>
    </xf>
    <xf numFmtId="168" fontId="3" fillId="0" borderId="0" xfId="1" applyNumberFormat="1" applyFont="1" applyBorder="1" applyAlignment="1">
      <alignment horizontal="center" vertical="top" shrinkToFit="1"/>
    </xf>
    <xf numFmtId="49" fontId="3" fillId="0" borderId="0" xfId="1" applyNumberFormat="1" applyFont="1" applyBorder="1" applyAlignment="1">
      <alignment horizontal="center" vertical="top" shrinkToFit="1"/>
    </xf>
    <xf numFmtId="165" fontId="3" fillId="0" borderId="0" xfId="1" applyNumberFormat="1" applyFont="1" applyBorder="1" applyAlignment="1">
      <alignment horizontal="center" vertical="top" shrinkToFit="1"/>
    </xf>
    <xf numFmtId="164" fontId="3" fillId="0" borderId="0" xfId="1" applyNumberFormat="1" applyFont="1" applyBorder="1" applyAlignment="1">
      <alignment vertical="top" wrapText="1"/>
    </xf>
    <xf numFmtId="165" fontId="5" fillId="0" borderId="0" xfId="1" applyNumberFormat="1" applyFont="1" applyBorder="1" applyAlignment="1">
      <alignment horizontal="center" vertical="top" wrapText="1"/>
    </xf>
    <xf numFmtId="164" fontId="3" fillId="0" borderId="8" xfId="1" applyNumberFormat="1" applyFont="1" applyBorder="1" applyAlignment="1">
      <alignment horizontal="left" vertical="top" shrinkToFit="1"/>
    </xf>
    <xf numFmtId="164" fontId="3" fillId="0" borderId="8" xfId="1" applyNumberFormat="1" applyFont="1" applyBorder="1" applyAlignment="1">
      <alignment horizontal="center" vertical="top" shrinkToFit="1"/>
    </xf>
    <xf numFmtId="164" fontId="3" fillId="0" borderId="20" xfId="1" applyNumberFormat="1" applyFont="1" applyBorder="1" applyAlignment="1">
      <alignment horizontal="center" shrinkToFit="1"/>
    </xf>
    <xf numFmtId="168" fontId="3" fillId="0" borderId="20" xfId="1" applyNumberFormat="1" applyFont="1" applyBorder="1" applyAlignment="1">
      <alignment horizontal="center" shrinkToFit="1"/>
    </xf>
    <xf numFmtId="49" fontId="3" fillId="0" borderId="20" xfId="1" applyNumberFormat="1" applyFont="1" applyBorder="1" applyAlignment="1">
      <alignment horizontal="center" shrinkToFit="1"/>
    </xf>
    <xf numFmtId="166" fontId="3" fillId="0" borderId="20" xfId="1" applyNumberFormat="1" applyFont="1" applyBorder="1" applyAlignment="1">
      <alignment horizontal="center" shrinkToFit="1"/>
    </xf>
    <xf numFmtId="164" fontId="3" fillId="0" borderId="20" xfId="1" applyNumberFormat="1" applyFont="1" applyBorder="1" applyAlignment="1">
      <alignment shrinkToFit="1"/>
    </xf>
    <xf numFmtId="164" fontId="3" fillId="0" borderId="20" xfId="1" applyNumberFormat="1" applyFont="1" applyBorder="1" applyAlignment="1">
      <alignment horizontal="left" shrinkToFit="1"/>
    </xf>
    <xf numFmtId="168" fontId="3" fillId="0" borderId="0" xfId="1" applyNumberFormat="1" applyFont="1" applyBorder="1" applyAlignment="1">
      <alignment horizontal="center" shrinkToFit="1"/>
    </xf>
    <xf numFmtId="49" fontId="3" fillId="0" borderId="0" xfId="1" applyNumberFormat="1" applyFont="1" applyBorder="1" applyAlignment="1">
      <alignment horizontal="center" shrinkToFit="1"/>
    </xf>
    <xf numFmtId="166" fontId="3" fillId="0" borderId="0" xfId="1" applyNumberFormat="1" applyFont="1" applyBorder="1" applyAlignment="1">
      <alignment horizontal="center" shrinkToFit="1"/>
    </xf>
    <xf numFmtId="168" fontId="3" fillId="0" borderId="0" xfId="1" applyNumberFormat="1" applyFont="1" applyBorder="1" applyAlignment="1">
      <alignment shrinkToFit="1"/>
    </xf>
    <xf numFmtId="164" fontId="3" fillId="0" borderId="20" xfId="1" applyNumberFormat="1" applyFont="1" applyBorder="1" applyAlignment="1">
      <alignment horizontal="center" vertical="top" shrinkToFit="1"/>
    </xf>
    <xf numFmtId="168" fontId="3" fillId="0" borderId="20" xfId="1" applyNumberFormat="1" applyFont="1" applyBorder="1" applyAlignment="1">
      <alignment horizontal="center" vertical="top" shrinkToFit="1"/>
    </xf>
    <xf numFmtId="49" fontId="3" fillId="0" borderId="20" xfId="1" applyNumberFormat="1" applyFont="1" applyBorder="1" applyAlignment="1">
      <alignment horizontal="center" vertical="top" shrinkToFit="1"/>
    </xf>
    <xf numFmtId="165" fontId="3" fillId="0" borderId="20" xfId="1" applyNumberFormat="1" applyFont="1" applyBorder="1" applyAlignment="1">
      <alignment horizontal="center" vertical="top" shrinkToFit="1"/>
    </xf>
    <xf numFmtId="164" fontId="3" fillId="0" borderId="20" xfId="1" applyNumberFormat="1" applyFont="1" applyBorder="1" applyAlignment="1">
      <alignment vertical="top" wrapText="1"/>
    </xf>
    <xf numFmtId="164" fontId="3" fillId="0" borderId="20" xfId="1" applyNumberFormat="1" applyFont="1" applyBorder="1" applyAlignment="1">
      <alignment horizontal="left" vertical="top" wrapText="1"/>
    </xf>
    <xf numFmtId="165" fontId="5" fillId="0" borderId="20" xfId="1" applyNumberFormat="1" applyFont="1" applyBorder="1" applyAlignment="1">
      <alignment horizontal="center" vertical="top" wrapText="1"/>
    </xf>
    <xf numFmtId="164" fontId="19" fillId="3" borderId="20" xfId="1" applyNumberFormat="1" applyFont="1" applyFill="1" applyBorder="1" applyAlignment="1">
      <alignment vertical="top" shrinkToFit="1"/>
    </xf>
    <xf numFmtId="168" fontId="20" fillId="3" borderId="20" xfId="1" applyNumberFormat="1" applyFont="1" applyFill="1" applyBorder="1" applyAlignment="1">
      <alignment horizontal="center" vertical="top" wrapText="1"/>
    </xf>
    <xf numFmtId="165" fontId="19" fillId="3" borderId="20" xfId="1" applyNumberFormat="1" applyFont="1" applyFill="1" applyBorder="1" applyAlignment="1">
      <alignment vertical="top" shrinkToFit="1"/>
    </xf>
    <xf numFmtId="49" fontId="19" fillId="3" borderId="20" xfId="1" applyNumberFormat="1" applyFont="1" applyFill="1" applyBorder="1" applyAlignment="1">
      <alignment horizontal="center" vertical="top" shrinkToFit="1"/>
    </xf>
    <xf numFmtId="164" fontId="19" fillId="3" borderId="20" xfId="1" applyNumberFormat="1" applyFont="1" applyFill="1" applyBorder="1" applyAlignment="1">
      <alignment vertical="top" wrapText="1"/>
    </xf>
    <xf numFmtId="164" fontId="19" fillId="3" borderId="20" xfId="1" applyNumberFormat="1" applyFont="1" applyFill="1" applyBorder="1" applyAlignment="1">
      <alignment horizontal="center" vertical="top" shrinkToFit="1"/>
    </xf>
    <xf numFmtId="164" fontId="19" fillId="3" borderId="20" xfId="1" applyNumberFormat="1" applyFont="1" applyFill="1" applyBorder="1" applyAlignment="1">
      <alignment horizontal="center" vertical="top" wrapText="1"/>
    </xf>
    <xf numFmtId="164" fontId="20" fillId="3" borderId="20" xfId="1" applyNumberFormat="1" applyFont="1" applyFill="1" applyBorder="1" applyAlignment="1">
      <alignment horizontal="center" vertical="top" wrapText="1"/>
    </xf>
    <xf numFmtId="165" fontId="19" fillId="3" borderId="0" xfId="1" applyNumberFormat="1" applyFont="1" applyFill="1" applyBorder="1" applyAlignment="1">
      <alignment vertical="top" shrinkToFit="1"/>
    </xf>
    <xf numFmtId="164" fontId="19" fillId="3" borderId="0" xfId="1" applyNumberFormat="1" applyFont="1" applyFill="1" applyBorder="1" applyAlignment="1">
      <alignment horizontal="center" vertical="top" wrapText="1"/>
    </xf>
    <xf numFmtId="164" fontId="19" fillId="3" borderId="6" xfId="1" applyNumberFormat="1" applyFont="1" applyFill="1" applyBorder="1" applyAlignment="1">
      <alignment vertical="top" shrinkToFit="1"/>
    </xf>
    <xf numFmtId="168" fontId="20" fillId="3" borderId="6" xfId="1" applyNumberFormat="1" applyFont="1" applyFill="1" applyBorder="1" applyAlignment="1">
      <alignment horizontal="center" vertical="top" wrapText="1"/>
    </xf>
    <xf numFmtId="165" fontId="19" fillId="3" borderId="6" xfId="1" applyNumberFormat="1" applyFont="1" applyFill="1" applyBorder="1" applyAlignment="1">
      <alignment vertical="top" shrinkToFit="1"/>
    </xf>
    <xf numFmtId="49" fontId="19" fillId="3" borderId="6" xfId="1" applyNumberFormat="1" applyFont="1" applyFill="1" applyBorder="1" applyAlignment="1">
      <alignment horizontal="center" vertical="top" shrinkToFit="1"/>
    </xf>
    <xf numFmtId="164" fontId="3" fillId="0" borderId="30" xfId="1" applyNumberFormat="1" applyFont="1" applyBorder="1" applyAlignment="1">
      <alignment horizontal="center" vertical="top" shrinkToFit="1"/>
    </xf>
    <xf numFmtId="164" fontId="3" fillId="2" borderId="7" xfId="1" applyNumberFormat="1" applyFont="1" applyFill="1" applyBorder="1" applyAlignment="1">
      <alignment vertical="top" shrinkToFit="1"/>
    </xf>
    <xf numFmtId="168" fontId="5" fillId="2" borderId="7" xfId="1" applyNumberFormat="1" applyFont="1" applyFill="1" applyBorder="1" applyAlignment="1">
      <alignment horizontal="center" vertical="top" wrapText="1"/>
    </xf>
    <xf numFmtId="165" fontId="3" fillId="2" borderId="7" xfId="1" applyNumberFormat="1" applyFont="1" applyFill="1" applyBorder="1" applyAlignment="1">
      <alignment vertical="top" shrinkToFit="1"/>
    </xf>
    <xf numFmtId="49" fontId="3" fillId="2" borderId="7" xfId="1" applyNumberFormat="1" applyFont="1" applyFill="1" applyBorder="1" applyAlignment="1">
      <alignment horizontal="center" vertical="top" shrinkToFit="1"/>
    </xf>
    <xf numFmtId="164" fontId="3" fillId="2" borderId="7" xfId="1" applyNumberFormat="1" applyFont="1" applyFill="1" applyBorder="1" applyAlignment="1">
      <alignment vertical="top" wrapText="1"/>
    </xf>
    <xf numFmtId="164" fontId="3" fillId="2" borderId="7" xfId="1" applyNumberFormat="1" applyFont="1" applyFill="1" applyBorder="1" applyAlignment="1">
      <alignment horizontal="center" vertical="top" shrinkToFit="1"/>
    </xf>
    <xf numFmtId="164" fontId="3" fillId="2" borderId="7" xfId="1" applyNumberFormat="1" applyFont="1" applyFill="1" applyBorder="1" applyAlignment="1">
      <alignment horizontal="center" vertical="top" wrapText="1"/>
    </xf>
    <xf numFmtId="164" fontId="3" fillId="2" borderId="25" xfId="1" applyNumberFormat="1" applyFont="1" applyFill="1" applyBorder="1" applyAlignment="1">
      <alignment vertical="top" wrapText="1"/>
    </xf>
    <xf numFmtId="164" fontId="3" fillId="2" borderId="0" xfId="1" applyNumberFormat="1" applyFont="1" applyFill="1" applyBorder="1" applyAlignment="1">
      <alignment vertical="top" shrinkToFit="1"/>
    </xf>
    <xf numFmtId="164" fontId="3" fillId="2" borderId="0" xfId="1" applyNumberFormat="1" applyFont="1" applyFill="1" applyAlignment="1">
      <alignment vertical="top" wrapText="1"/>
    </xf>
    <xf numFmtId="164" fontId="3" fillId="2" borderId="0" xfId="1" applyNumberFormat="1" applyFont="1" applyFill="1" applyAlignment="1">
      <alignment vertical="top" shrinkToFit="1"/>
    </xf>
    <xf numFmtId="164" fontId="19" fillId="3" borderId="15" xfId="1" applyNumberFormat="1" applyFont="1" applyFill="1" applyBorder="1" applyAlignment="1">
      <alignment horizontal="left" vertical="top" wrapTex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164" fontId="15" fillId="3" borderId="18" xfId="1" applyNumberFormat="1" applyFont="1" applyFill="1" applyBorder="1" applyAlignment="1">
      <alignment shrinkToFit="1"/>
    </xf>
    <xf numFmtId="164" fontId="6" fillId="3" borderId="18" xfId="1" applyNumberFormat="1" applyFont="1" applyFill="1" applyBorder="1" applyAlignment="1">
      <alignment shrinkToFit="1"/>
    </xf>
    <xf numFmtId="0" fontId="30" fillId="0" borderId="3" xfId="0" applyFont="1" applyBorder="1" applyAlignment="1">
      <alignment vertical="top" wrapText="1"/>
    </xf>
    <xf numFmtId="168" fontId="10" fillId="3" borderId="3" xfId="1" applyNumberFormat="1" applyFont="1" applyFill="1" applyBorder="1" applyAlignment="1">
      <alignment vertical="top" wrapText="1"/>
    </xf>
    <xf numFmtId="170" fontId="10" fillId="3" borderId="3" xfId="0" applyNumberFormat="1" applyFont="1" applyFill="1" applyBorder="1" applyAlignment="1">
      <alignment vertical="top" shrinkToFit="1"/>
    </xf>
    <xf numFmtId="1" fontId="31" fillId="0" borderId="0" xfId="0" applyNumberFormat="1" applyFont="1" applyAlignment="1">
      <alignment vertical="top" shrinkToFit="1"/>
    </xf>
    <xf numFmtId="0" fontId="5" fillId="3" borderId="3" xfId="0" applyFont="1" applyFill="1" applyBorder="1" applyAlignment="1">
      <alignment horizontal="center" vertical="top" shrinkToFit="1"/>
    </xf>
    <xf numFmtId="0" fontId="32" fillId="0" borderId="3" xfId="0" applyFont="1" applyBorder="1" applyAlignment="1">
      <alignment vertical="top" wrapText="1"/>
    </xf>
    <xf numFmtId="0" fontId="3" fillId="3" borderId="9" xfId="0" applyFont="1" applyFill="1" applyBorder="1" applyAlignment="1">
      <alignment vertical="top" shrinkToFit="1"/>
    </xf>
    <xf numFmtId="0" fontId="3" fillId="3" borderId="21" xfId="0" applyFont="1" applyFill="1" applyBorder="1" applyAlignment="1">
      <alignment vertical="top" shrinkToFit="1"/>
    </xf>
    <xf numFmtId="168" fontId="3" fillId="3" borderId="3" xfId="1" applyNumberFormat="1" applyFont="1" applyFill="1" applyBorder="1" applyAlignment="1">
      <alignment vertical="top" wrapText="1"/>
    </xf>
    <xf numFmtId="43" fontId="19" fillId="3" borderId="3" xfId="1" applyFont="1" applyFill="1" applyBorder="1" applyAlignment="1">
      <alignment vertical="top" shrinkToFit="1"/>
    </xf>
    <xf numFmtId="15" fontId="3" fillId="3" borderId="3" xfId="0" applyNumberFormat="1" applyFont="1" applyFill="1" applyBorder="1" applyAlignment="1">
      <alignment horizontal="center" vertical="top" shrinkToFit="1"/>
    </xf>
    <xf numFmtId="17" fontId="3" fillId="3" borderId="3" xfId="0" applyNumberFormat="1" applyFont="1" applyFill="1" applyBorder="1" applyAlignment="1">
      <alignment horizontal="center" vertical="top" shrinkToFit="1"/>
    </xf>
    <xf numFmtId="0" fontId="6" fillId="3" borderId="1" xfId="0" applyFont="1" applyFill="1" applyBorder="1" applyAlignment="1">
      <alignment horizontal="left" vertical="center" shrinkToFit="1"/>
    </xf>
    <xf numFmtId="0" fontId="3" fillId="3" borderId="15" xfId="0" applyFont="1" applyFill="1" applyBorder="1" applyAlignment="1">
      <alignment horizontal="center" vertical="top" shrinkToFit="1"/>
    </xf>
    <xf numFmtId="168" fontId="12" fillId="3" borderId="15" xfId="1" applyNumberFormat="1" applyFont="1" applyFill="1" applyBorder="1" applyAlignment="1">
      <alignment vertical="top" wrapText="1"/>
    </xf>
    <xf numFmtId="49" fontId="3" fillId="3" borderId="15" xfId="0" applyNumberFormat="1" applyFont="1" applyFill="1" applyBorder="1" applyAlignment="1">
      <alignment vertical="top" shrinkToFit="1"/>
    </xf>
    <xf numFmtId="15" fontId="3" fillId="3" borderId="15" xfId="0" applyNumberFormat="1" applyFont="1" applyFill="1" applyBorder="1" applyAlignment="1">
      <alignment vertical="top" shrinkToFit="1"/>
    </xf>
    <xf numFmtId="15" fontId="6" fillId="3" borderId="15" xfId="0" applyNumberFormat="1" applyFont="1" applyFill="1" applyBorder="1" applyAlignment="1">
      <alignment horizontal="center" vertical="top" shrinkToFit="1"/>
    </xf>
    <xf numFmtId="43" fontId="6" fillId="3" borderId="15" xfId="1" applyFont="1" applyFill="1" applyBorder="1" applyAlignment="1">
      <alignment vertical="top" shrinkToFit="1"/>
    </xf>
    <xf numFmtId="4" fontId="3" fillId="3" borderId="15" xfId="0" applyNumberFormat="1" applyFont="1" applyFill="1" applyBorder="1" applyAlignment="1">
      <alignment vertical="top" shrinkToFit="1"/>
    </xf>
    <xf numFmtId="0" fontId="3" fillId="3" borderId="20" xfId="0" applyFont="1" applyFill="1" applyBorder="1" applyAlignment="1">
      <alignment horizontal="center" vertical="top" shrinkToFit="1"/>
    </xf>
    <xf numFmtId="168" fontId="12" fillId="3" borderId="20" xfId="1" applyNumberFormat="1" applyFont="1" applyFill="1" applyBorder="1" applyAlignment="1">
      <alignment vertical="top" wrapText="1"/>
    </xf>
    <xf numFmtId="49" fontId="3" fillId="3" borderId="20" xfId="0" applyNumberFormat="1" applyFont="1" applyFill="1" applyBorder="1" applyAlignment="1">
      <alignment vertical="top" shrinkToFit="1"/>
    </xf>
    <xf numFmtId="15" fontId="3" fillId="3" borderId="20" xfId="0" applyNumberFormat="1" applyFont="1" applyFill="1" applyBorder="1" applyAlignment="1">
      <alignment vertical="top" shrinkToFit="1"/>
    </xf>
    <xf numFmtId="0" fontId="30" fillId="0" borderId="20" xfId="0" applyFont="1" applyBorder="1" applyAlignment="1">
      <alignment vertical="top" wrapText="1"/>
    </xf>
    <xf numFmtId="43" fontId="3" fillId="3" borderId="20" xfId="1" applyFont="1" applyFill="1" applyBorder="1" applyAlignment="1">
      <alignment vertical="top" shrinkToFit="1"/>
    </xf>
    <xf numFmtId="4" fontId="3" fillId="3" borderId="20" xfId="0" applyNumberFormat="1" applyFont="1" applyFill="1" applyBorder="1" applyAlignment="1">
      <alignment vertical="top" shrinkToFit="1"/>
    </xf>
    <xf numFmtId="0" fontId="5" fillId="3" borderId="20" xfId="0" applyFont="1" applyFill="1" applyBorder="1" applyAlignment="1">
      <alignment horizontal="center" vertical="top" wrapText="1"/>
    </xf>
    <xf numFmtId="0" fontId="3" fillId="3" borderId="0" xfId="0" applyFont="1" applyFill="1" applyAlignment="1">
      <alignment horizontal="center" vertical="top" shrinkToFit="1"/>
    </xf>
    <xf numFmtId="168" fontId="12" fillId="3" borderId="0" xfId="1" applyNumberFormat="1" applyFont="1" applyFill="1" applyBorder="1" applyAlignment="1">
      <alignment vertical="top" wrapText="1"/>
    </xf>
    <xf numFmtId="49" fontId="3" fillId="3" borderId="0" xfId="0" applyNumberFormat="1" applyFont="1" applyFill="1" applyAlignment="1">
      <alignment vertical="top" shrinkToFit="1"/>
    </xf>
    <xf numFmtId="15" fontId="3" fillId="3" borderId="0" xfId="0" applyNumberFormat="1" applyFont="1" applyFill="1" applyAlignment="1">
      <alignment vertical="top" shrinkToFit="1"/>
    </xf>
    <xf numFmtId="0" fontId="30" fillId="0" borderId="0" xfId="0" applyFont="1" applyAlignment="1">
      <alignment vertical="top" wrapText="1"/>
    </xf>
    <xf numFmtId="43" fontId="3" fillId="3" borderId="0" xfId="1" applyFont="1" applyFill="1" applyBorder="1" applyAlignment="1">
      <alignment vertical="top" shrinkToFit="1"/>
    </xf>
    <xf numFmtId="4" fontId="3" fillId="3" borderId="0" xfId="0" applyNumberFormat="1" applyFont="1" applyFill="1" applyAlignment="1">
      <alignment vertical="top" shrinkToFit="1"/>
    </xf>
    <xf numFmtId="0" fontId="27" fillId="0" borderId="0" xfId="0" applyFont="1" applyAlignment="1">
      <alignment vertical="top" wrapText="1"/>
    </xf>
    <xf numFmtId="0" fontId="29" fillId="0" borderId="0" xfId="0" applyFont="1" applyAlignment="1">
      <alignment vertical="top" wrapText="1"/>
    </xf>
    <xf numFmtId="0" fontId="28" fillId="0" borderId="0" xfId="0" applyFont="1" applyAlignment="1">
      <alignment vertical="top" wrapText="1" shrinkToFi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2" fillId="3" borderId="0" xfId="0" applyFont="1" applyFill="1" applyAlignment="1">
      <alignment horizontal="center" shrinkToFit="1"/>
    </xf>
    <xf numFmtId="164" fontId="6" fillId="3" borderId="12" xfId="1" applyNumberFormat="1" applyFont="1" applyFill="1" applyBorder="1" applyAlignment="1">
      <alignment horizontal="left" shrinkToFit="1"/>
    </xf>
    <xf numFmtId="164" fontId="6" fillId="3" borderId="13" xfId="1" applyNumberFormat="1" applyFont="1" applyFill="1" applyBorder="1" applyAlignment="1">
      <alignment horizontal="left" shrinkToFit="1"/>
    </xf>
    <xf numFmtId="164" fontId="6" fillId="3" borderId="25" xfId="1" applyNumberFormat="1" applyFont="1" applyFill="1" applyBorder="1" applyAlignment="1">
      <alignment horizontal="left" shrinkToFit="1"/>
    </xf>
    <xf numFmtId="164" fontId="6" fillId="3" borderId="0" xfId="1" applyNumberFormat="1" applyFont="1" applyFill="1" applyBorder="1" applyAlignment="1">
      <alignment horizontal="left" shrinkToFit="1"/>
    </xf>
    <xf numFmtId="164" fontId="6" fillId="3" borderId="26" xfId="1" applyNumberFormat="1" applyFont="1" applyFill="1" applyBorder="1" applyAlignment="1">
      <alignment horizontal="left" shrinkToFit="1"/>
    </xf>
    <xf numFmtId="164" fontId="6" fillId="3" borderId="8" xfId="1" applyNumberFormat="1" applyFont="1" applyFill="1" applyBorder="1" applyAlignment="1">
      <alignment horizontal="left" shrinkToFit="1"/>
    </xf>
    <xf numFmtId="164" fontId="6" fillId="3" borderId="0" xfId="1" applyNumberFormat="1" applyFont="1" applyFill="1" applyBorder="1" applyAlignment="1">
      <alignment horizontal="center"/>
    </xf>
    <xf numFmtId="164" fontId="6" fillId="3" borderId="19" xfId="1" applyNumberFormat="1" applyFont="1" applyFill="1" applyBorder="1" applyAlignment="1">
      <alignment horizontal="left" shrinkToFit="1"/>
    </xf>
    <xf numFmtId="164" fontId="6" fillId="3" borderId="20" xfId="1" applyNumberFormat="1" applyFont="1" applyFill="1" applyBorder="1" applyAlignment="1">
      <alignment horizontal="left" shrinkToFit="1"/>
    </xf>
    <xf numFmtId="164" fontId="4" fillId="3" borderId="1" xfId="1" applyNumberFormat="1" applyFont="1" applyFill="1" applyBorder="1" applyAlignment="1">
      <alignment horizontal="center" vertical="center" shrinkToFit="1"/>
    </xf>
    <xf numFmtId="164" fontId="4" fillId="3" borderId="2" xfId="1" applyNumberFormat="1" applyFont="1" applyFill="1" applyBorder="1" applyAlignment="1">
      <alignment horizontal="center" vertical="center" shrinkToFit="1"/>
    </xf>
    <xf numFmtId="164" fontId="6" fillId="3" borderId="25" xfId="1" applyNumberFormat="1" applyFont="1" applyFill="1" applyBorder="1" applyAlignment="1">
      <alignment horizontal="left" vertical="center" shrinkToFit="1"/>
    </xf>
    <xf numFmtId="164" fontId="6" fillId="3" borderId="0" xfId="1" applyNumberFormat="1" applyFont="1" applyFill="1" applyBorder="1" applyAlignment="1">
      <alignment horizontal="left" vertical="center" shrinkToFit="1"/>
    </xf>
    <xf numFmtId="164" fontId="6" fillId="3" borderId="30" xfId="1" applyNumberFormat="1" applyFont="1" applyFill="1" applyBorder="1" applyAlignment="1">
      <alignment horizontal="left" vertical="center" shrinkToFit="1"/>
    </xf>
    <xf numFmtId="164" fontId="6" fillId="3" borderId="26" xfId="1" applyNumberFormat="1" applyFont="1" applyFill="1" applyBorder="1" applyAlignment="1">
      <alignment horizontal="left" vertical="center" shrinkToFit="1"/>
    </xf>
    <xf numFmtId="164" fontId="6" fillId="3" borderId="8" xfId="1" applyNumberFormat="1" applyFont="1" applyFill="1" applyBorder="1" applyAlignment="1">
      <alignment horizontal="left" vertical="center" shrinkToFit="1"/>
    </xf>
    <xf numFmtId="164" fontId="6" fillId="3" borderId="29" xfId="1" applyNumberFormat="1" applyFont="1" applyFill="1" applyBorder="1" applyAlignment="1">
      <alignment horizontal="left" vertical="center" shrinkToFit="1"/>
    </xf>
    <xf numFmtId="164" fontId="6" fillId="3" borderId="12" xfId="1" applyNumberFormat="1" applyFont="1" applyFill="1" applyBorder="1" applyAlignment="1">
      <alignment horizontal="left" vertical="center" shrinkToFit="1"/>
    </xf>
    <xf numFmtId="164" fontId="6" fillId="3" borderId="13" xfId="1" applyNumberFormat="1" applyFont="1" applyFill="1" applyBorder="1" applyAlignment="1">
      <alignment horizontal="left" vertical="center" shrinkToFit="1"/>
    </xf>
    <xf numFmtId="164" fontId="6" fillId="3" borderId="14" xfId="1" applyNumberFormat="1" applyFont="1" applyFill="1" applyBorder="1" applyAlignment="1">
      <alignment horizontal="left" vertical="center" shrinkToFit="1"/>
    </xf>
    <xf numFmtId="164" fontId="6" fillId="3" borderId="0" xfId="1" applyNumberFormat="1" applyFont="1" applyFill="1" applyBorder="1" applyAlignment="1">
      <alignment horizontal="center" shrinkToFit="1"/>
    </xf>
    <xf numFmtId="164" fontId="6" fillId="3" borderId="6" xfId="1" applyNumberFormat="1" applyFont="1" applyFill="1" applyBorder="1" applyAlignment="1">
      <alignment horizontal="left" vertical="center" shrinkToFit="1"/>
    </xf>
    <xf numFmtId="164" fontId="6" fillId="3" borderId="22" xfId="1" applyNumberFormat="1" applyFont="1" applyFill="1" applyBorder="1" applyAlignment="1">
      <alignment horizontal="left" vertical="center" shrinkToFit="1"/>
    </xf>
    <xf numFmtId="164" fontId="6" fillId="3" borderId="19" xfId="1" applyNumberFormat="1" applyFont="1" applyFill="1" applyBorder="1" applyAlignment="1">
      <alignment horizontal="left" vertical="center" shrinkToFit="1"/>
    </xf>
    <xf numFmtId="164" fontId="6" fillId="3" borderId="20" xfId="1" applyNumberFormat="1" applyFont="1" applyFill="1" applyBorder="1" applyAlignment="1">
      <alignment horizontal="left" vertical="center" shrinkToFit="1"/>
    </xf>
    <xf numFmtId="164" fontId="6" fillId="3" borderId="24" xfId="1" applyNumberFormat="1" applyFont="1" applyFill="1" applyBorder="1" applyAlignment="1">
      <alignment horizontal="left" vertical="center" shrinkToFit="1"/>
    </xf>
    <xf numFmtId="164" fontId="6" fillId="0" borderId="0" xfId="1" applyNumberFormat="1" applyFont="1" applyBorder="1" applyAlignment="1">
      <alignment horizontal="left" shrinkToFit="1"/>
    </xf>
    <xf numFmtId="164" fontId="6" fillId="0" borderId="20" xfId="1" applyNumberFormat="1" applyFont="1" applyBorder="1" applyAlignment="1">
      <alignment horizontal="left" shrinkToFit="1"/>
    </xf>
    <xf numFmtId="164" fontId="6" fillId="0" borderId="0" xfId="1" applyNumberFormat="1" applyFont="1" applyBorder="1" applyAlignment="1">
      <alignment horizontal="center"/>
    </xf>
    <xf numFmtId="164" fontId="4" fillId="0" borderId="1" xfId="1" applyNumberFormat="1" applyFont="1" applyBorder="1" applyAlignment="1">
      <alignment horizontal="center" vertical="center" shrinkToFit="1"/>
    </xf>
    <xf numFmtId="164" fontId="4" fillId="0" borderId="2" xfId="1" applyNumberFormat="1" applyFont="1" applyBorder="1" applyAlignment="1">
      <alignment horizontal="center" vertical="center" shrinkToFit="1"/>
    </xf>
    <xf numFmtId="164" fontId="6" fillId="0" borderId="13" xfId="1" applyNumberFormat="1" applyFont="1" applyBorder="1" applyAlignment="1">
      <alignment horizontal="left" shrinkToFit="1"/>
    </xf>
    <xf numFmtId="0" fontId="3" fillId="3" borderId="7" xfId="0" applyFont="1" applyFill="1" applyBorder="1" applyAlignment="1">
      <alignment horizontal="center" vertical="top" shrinkToFit="1"/>
    </xf>
    <xf numFmtId="168" fontId="3" fillId="3" borderId="7" xfId="1" applyNumberFormat="1" applyFont="1" applyFill="1" applyBorder="1" applyAlignment="1">
      <alignment vertical="top" wrapText="1"/>
    </xf>
    <xf numFmtId="49" fontId="3" fillId="3" borderId="7" xfId="0" applyNumberFormat="1" applyFont="1" applyFill="1" applyBorder="1" applyAlignment="1">
      <alignment vertical="top" shrinkToFit="1"/>
    </xf>
    <xf numFmtId="15" fontId="3" fillId="3" borderId="7" xfId="0" applyNumberFormat="1" applyFont="1" applyFill="1" applyBorder="1" applyAlignment="1">
      <alignment vertical="top" shrinkToFit="1"/>
    </xf>
    <xf numFmtId="15" fontId="3" fillId="3" borderId="7" xfId="0" applyNumberFormat="1" applyFont="1" applyFill="1" applyBorder="1" applyAlignment="1">
      <alignment horizontal="center" vertical="top" shrinkToFit="1"/>
    </xf>
    <xf numFmtId="0" fontId="3" fillId="3" borderId="7" xfId="0" applyFont="1" applyFill="1" applyBorder="1" applyAlignment="1">
      <alignment vertical="top" wrapText="1"/>
    </xf>
    <xf numFmtId="43" fontId="3" fillId="3" borderId="7" xfId="1" applyFont="1" applyFill="1" applyBorder="1" applyAlignment="1">
      <alignment vertical="top" shrinkToFit="1"/>
    </xf>
    <xf numFmtId="4" fontId="3" fillId="3" borderId="7" xfId="0" applyNumberFormat="1" applyFont="1" applyFill="1" applyBorder="1" applyAlignment="1">
      <alignment vertical="top" shrinkToFit="1"/>
    </xf>
    <xf numFmtId="0" fontId="5" fillId="3" borderId="7" xfId="0" applyFont="1" applyFill="1" applyBorder="1" applyAlignment="1">
      <alignment horizontal="center" vertical="top" shrinkToFit="1"/>
    </xf>
    <xf numFmtId="17" fontId="3" fillId="3" borderId="7" xfId="0" applyNumberFormat="1" applyFont="1" applyFill="1" applyBorder="1" applyAlignment="1">
      <alignment horizontal="center" vertical="top" shrinkToFit="1"/>
    </xf>
  </cellXfs>
  <cellStyles count="3">
    <cellStyle name="Comma 2" xfId="2" xr:uid="{00000000-0005-0000-0000-000000000000}"/>
    <cellStyle name="จุลภาค" xfId="1" builtinId="3"/>
    <cellStyle name="ปกติ" xfId="0" builtinId="0"/>
  </cellStyles>
  <dxfs count="0"/>
  <tableStyles count="0" defaultTableStyle="TableStyleMedium9" defaultPivotStyle="PivotStyleLight16"/>
  <colors>
    <mruColors>
      <color rgb="FFCCFF99"/>
      <color rgb="FFCCFFCC"/>
      <color rgb="FFFF9933"/>
      <color rgb="FFFFCCFF"/>
      <color rgb="FFFF99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view="pageBreakPreview" zoomScale="120" zoomScaleNormal="100" zoomScaleSheetLayoutView="120" workbookViewId="0">
      <pane ySplit="6" topLeftCell="A13" activePane="bottomLeft" state="frozen"/>
      <selection pane="bottomLeft" activeCell="G10" sqref="G10"/>
    </sheetView>
  </sheetViews>
  <sheetFormatPr defaultColWidth="9" defaultRowHeight="21"/>
  <cols>
    <col min="1" max="1" width="4.28515625" style="85" customWidth="1"/>
    <col min="2" max="2" width="11.140625" style="85" customWidth="1"/>
    <col min="3" max="3" width="6.140625" style="78" customWidth="1"/>
    <col min="4" max="4" width="14.28515625" style="78" customWidth="1"/>
    <col min="5" max="5" width="35.85546875" style="78" customWidth="1"/>
    <col min="6" max="6" width="11.28515625" style="86" customWidth="1"/>
    <col min="7" max="7" width="10.5703125" style="87" customWidth="1"/>
    <col min="8" max="8" width="6" style="78" customWidth="1"/>
    <col min="9" max="9" width="8.28515625" style="85" customWidth="1"/>
    <col min="10" max="10" width="8.85546875" style="85" customWidth="1"/>
    <col min="11" max="11" width="7.28515625" style="85" customWidth="1"/>
    <col min="12" max="12" width="6.5703125" style="90" customWidth="1"/>
    <col min="13" max="13" width="9.5703125" style="85" customWidth="1"/>
    <col min="14" max="14" width="27.140625" style="78" customWidth="1"/>
    <col min="15" max="16384" width="9" style="78"/>
  </cols>
  <sheetData>
    <row r="1" spans="1:13" ht="23.25">
      <c r="A1" s="526" t="s">
        <v>1200</v>
      </c>
      <c r="B1" s="526"/>
      <c r="C1" s="526"/>
      <c r="D1" s="526"/>
      <c r="E1" s="526"/>
      <c r="F1" s="526"/>
      <c r="G1" s="526"/>
      <c r="H1" s="526"/>
      <c r="I1" s="526"/>
      <c r="J1" s="526"/>
      <c r="K1" s="526"/>
      <c r="L1" s="526"/>
      <c r="M1" s="526"/>
    </row>
    <row r="2" spans="1:13" ht="23.25">
      <c r="A2" s="526" t="s">
        <v>24</v>
      </c>
      <c r="B2" s="526"/>
      <c r="C2" s="526"/>
      <c r="D2" s="526"/>
      <c r="E2" s="526"/>
      <c r="F2" s="526"/>
      <c r="G2" s="526"/>
      <c r="H2" s="526"/>
      <c r="I2" s="526"/>
      <c r="J2" s="526"/>
      <c r="K2" s="526"/>
      <c r="L2" s="526"/>
      <c r="M2" s="526"/>
    </row>
    <row r="3" spans="1:13" ht="23.25">
      <c r="A3" s="526" t="s">
        <v>1183</v>
      </c>
      <c r="B3" s="526"/>
      <c r="C3" s="526"/>
      <c r="D3" s="526"/>
      <c r="E3" s="526"/>
      <c r="F3" s="526"/>
      <c r="G3" s="526"/>
      <c r="H3" s="526"/>
      <c r="I3" s="526"/>
      <c r="J3" s="526"/>
      <c r="K3" s="526"/>
      <c r="L3" s="526"/>
      <c r="M3" s="526"/>
    </row>
    <row r="4" spans="1:13" ht="11.25" customHeight="1">
      <c r="A4" s="79"/>
      <c r="B4" s="79"/>
      <c r="C4" s="79"/>
      <c r="D4" s="79"/>
      <c r="E4" s="79"/>
      <c r="F4" s="79"/>
      <c r="G4" s="79"/>
      <c r="H4" s="79"/>
      <c r="I4" s="79"/>
      <c r="J4" s="79"/>
      <c r="K4" s="79"/>
      <c r="L4" s="89"/>
      <c r="M4" s="79"/>
    </row>
    <row r="5" spans="1:13">
      <c r="A5" s="522" t="s">
        <v>27</v>
      </c>
      <c r="B5" s="480" t="s">
        <v>1210</v>
      </c>
      <c r="C5" s="80" t="s">
        <v>4</v>
      </c>
      <c r="D5" s="480" t="s">
        <v>28</v>
      </c>
      <c r="E5" s="80" t="s">
        <v>29</v>
      </c>
      <c r="F5" s="522" t="s">
        <v>30</v>
      </c>
      <c r="G5" s="522" t="s">
        <v>3</v>
      </c>
      <c r="H5" s="522" t="s">
        <v>1175</v>
      </c>
      <c r="I5" s="81" t="s">
        <v>8</v>
      </c>
      <c r="J5" s="522" t="s">
        <v>31</v>
      </c>
      <c r="K5" s="522" t="s">
        <v>13</v>
      </c>
      <c r="L5" s="524" t="s">
        <v>39</v>
      </c>
      <c r="M5" s="522" t="s">
        <v>15</v>
      </c>
    </row>
    <row r="6" spans="1:13">
      <c r="A6" s="523"/>
      <c r="B6" s="481"/>
      <c r="C6" s="82"/>
      <c r="D6" s="481" t="s">
        <v>1178</v>
      </c>
      <c r="E6" s="82"/>
      <c r="F6" s="523"/>
      <c r="G6" s="523"/>
      <c r="H6" s="523"/>
      <c r="I6" s="83" t="s">
        <v>9</v>
      </c>
      <c r="J6" s="523"/>
      <c r="K6" s="523"/>
      <c r="L6" s="525"/>
      <c r="M6" s="523"/>
    </row>
    <row r="7" spans="1:13" s="139" customFormat="1" ht="63">
      <c r="A7" s="135">
        <v>1</v>
      </c>
      <c r="B7" s="485">
        <v>65097789720</v>
      </c>
      <c r="C7" s="136" t="s">
        <v>1173</v>
      </c>
      <c r="D7" s="137" t="s">
        <v>1177</v>
      </c>
      <c r="E7" s="140" t="s">
        <v>1174</v>
      </c>
      <c r="F7" s="142">
        <v>4300400</v>
      </c>
      <c r="G7" s="143">
        <v>4191954.31</v>
      </c>
      <c r="H7" s="137" t="s">
        <v>1176</v>
      </c>
      <c r="I7" s="141" t="s">
        <v>1179</v>
      </c>
      <c r="J7" s="141" t="s">
        <v>1180</v>
      </c>
      <c r="K7" s="137"/>
      <c r="L7" s="138"/>
      <c r="M7" s="144"/>
    </row>
    <row r="8" spans="1:13" s="139" customFormat="1" ht="63">
      <c r="A8" s="135">
        <v>2</v>
      </c>
      <c r="B8" s="486">
        <v>65097786519</v>
      </c>
      <c r="C8" s="136" t="s">
        <v>1181</v>
      </c>
      <c r="D8" s="137" t="s">
        <v>1177</v>
      </c>
      <c r="E8" s="140" t="s">
        <v>1182</v>
      </c>
      <c r="F8" s="142">
        <v>3870800</v>
      </c>
      <c r="G8" s="143">
        <v>3772920.29</v>
      </c>
      <c r="H8" s="137" t="s">
        <v>1176</v>
      </c>
      <c r="I8" s="141" t="s">
        <v>1179</v>
      </c>
      <c r="J8" s="141" t="s">
        <v>1180</v>
      </c>
      <c r="K8" s="137"/>
      <c r="L8" s="138"/>
      <c r="M8" s="144"/>
    </row>
    <row r="9" spans="1:13" s="139" customFormat="1" ht="63">
      <c r="A9" s="135">
        <v>3</v>
      </c>
      <c r="B9" s="485">
        <v>65107086323</v>
      </c>
      <c r="C9" s="136" t="s">
        <v>1184</v>
      </c>
      <c r="D9" s="137" t="s">
        <v>1195</v>
      </c>
      <c r="E9" s="140" t="s">
        <v>1193</v>
      </c>
      <c r="F9" s="142">
        <v>5131800</v>
      </c>
      <c r="G9" s="143">
        <v>5002022.5</v>
      </c>
      <c r="H9" s="137" t="s">
        <v>1194</v>
      </c>
      <c r="I9" s="141" t="s">
        <v>1185</v>
      </c>
      <c r="J9" s="141" t="s">
        <v>1180</v>
      </c>
      <c r="K9" s="137"/>
      <c r="L9" s="138"/>
      <c r="M9" s="144"/>
    </row>
    <row r="10" spans="1:13" s="139" customFormat="1" ht="63">
      <c r="A10" s="135">
        <v>4</v>
      </c>
      <c r="B10" s="487">
        <v>65107086323</v>
      </c>
      <c r="C10" s="136" t="s">
        <v>1186</v>
      </c>
      <c r="D10" s="137" t="s">
        <v>1196</v>
      </c>
      <c r="E10" s="140" t="s">
        <v>1197</v>
      </c>
      <c r="F10" s="142">
        <v>7150000</v>
      </c>
      <c r="G10" s="143">
        <v>6981960.0300000003</v>
      </c>
      <c r="H10" s="137" t="s">
        <v>1198</v>
      </c>
      <c r="I10" s="141" t="s">
        <v>1185</v>
      </c>
      <c r="J10" s="141" t="s">
        <v>1180</v>
      </c>
      <c r="K10" s="137"/>
      <c r="L10" s="138"/>
      <c r="M10" s="144"/>
    </row>
    <row r="11" spans="1:13" s="139" customFormat="1" ht="56.25">
      <c r="A11" s="135">
        <v>5</v>
      </c>
      <c r="B11" s="485">
        <v>65127279082</v>
      </c>
      <c r="C11" s="136" t="s">
        <v>1187</v>
      </c>
      <c r="D11" s="137" t="s">
        <v>1201</v>
      </c>
      <c r="E11" s="140" t="s">
        <v>1199</v>
      </c>
      <c r="F11" s="142">
        <v>9559100</v>
      </c>
      <c r="G11" s="143">
        <v>9143905.3200000003</v>
      </c>
      <c r="H11" s="137" t="s">
        <v>1194</v>
      </c>
      <c r="I11" s="141" t="s">
        <v>1185</v>
      </c>
      <c r="J11" s="141" t="s">
        <v>1180</v>
      </c>
      <c r="K11" s="137"/>
      <c r="L11" s="138"/>
      <c r="M11" s="144"/>
    </row>
    <row r="12" spans="1:13" s="139" customFormat="1" ht="84">
      <c r="A12" s="135">
        <v>6</v>
      </c>
      <c r="B12" s="485">
        <v>66037608226</v>
      </c>
      <c r="C12" s="136" t="s">
        <v>1188</v>
      </c>
      <c r="D12" s="137" t="s">
        <v>1206</v>
      </c>
      <c r="E12" s="140" t="s">
        <v>1207</v>
      </c>
      <c r="F12" s="142">
        <v>727400</v>
      </c>
      <c r="G12" s="143">
        <v>727400</v>
      </c>
      <c r="H12" s="137" t="s">
        <v>1194</v>
      </c>
      <c r="I12" s="141" t="s">
        <v>361</v>
      </c>
      <c r="J12" s="141" t="s">
        <v>1180</v>
      </c>
      <c r="K12" s="137"/>
      <c r="L12" s="138"/>
      <c r="M12" s="144"/>
    </row>
    <row r="13" spans="1:13" s="139" customFormat="1" ht="63">
      <c r="A13" s="135"/>
      <c r="B13" s="145"/>
      <c r="C13" s="136" t="s">
        <v>1189</v>
      </c>
      <c r="D13" s="137" t="s">
        <v>1208</v>
      </c>
      <c r="E13" s="140" t="s">
        <v>1209</v>
      </c>
      <c r="F13" s="142">
        <v>1081800</v>
      </c>
      <c r="G13" s="143">
        <v>1071470.1599999999</v>
      </c>
      <c r="H13" s="137" t="s">
        <v>1176</v>
      </c>
      <c r="I13" s="141" t="s">
        <v>1185</v>
      </c>
      <c r="J13" s="141" t="s">
        <v>1180</v>
      </c>
      <c r="K13" s="137"/>
      <c r="L13" s="138"/>
      <c r="M13" s="144"/>
    </row>
    <row r="14" spans="1:13" s="139" customFormat="1" ht="56.25">
      <c r="A14" s="135"/>
      <c r="B14" s="145"/>
      <c r="C14" s="136" t="s">
        <v>1190</v>
      </c>
      <c r="D14" s="137" t="s">
        <v>1208</v>
      </c>
      <c r="E14" s="140" t="s">
        <v>1211</v>
      </c>
      <c r="F14" s="142">
        <v>2693100</v>
      </c>
      <c r="G14" s="143">
        <v>2667152.7799999998</v>
      </c>
      <c r="H14" s="137" t="s">
        <v>1198</v>
      </c>
      <c r="I14" s="141" t="s">
        <v>1185</v>
      </c>
      <c r="J14" s="141" t="s">
        <v>1180</v>
      </c>
      <c r="K14" s="137"/>
      <c r="L14" s="138"/>
      <c r="M14" s="144"/>
    </row>
    <row r="15" spans="1:13" s="139" customFormat="1" ht="63">
      <c r="A15" s="135"/>
      <c r="B15" s="145"/>
      <c r="C15" s="136" t="s">
        <v>1191</v>
      </c>
      <c r="D15" s="137" t="s">
        <v>1208</v>
      </c>
      <c r="E15" s="140" t="s">
        <v>1197</v>
      </c>
      <c r="F15" s="142">
        <v>712500</v>
      </c>
      <c r="G15" s="143">
        <v>718083.61</v>
      </c>
      <c r="H15" s="137" t="s">
        <v>1176</v>
      </c>
      <c r="I15" s="141" t="s">
        <v>1185</v>
      </c>
      <c r="J15" s="141" t="s">
        <v>1180</v>
      </c>
      <c r="K15" s="137"/>
      <c r="L15" s="138"/>
      <c r="M15" s="144"/>
    </row>
    <row r="16" spans="1:13" s="139" customFormat="1" ht="63">
      <c r="A16" s="135"/>
      <c r="B16" s="145"/>
      <c r="C16" s="136" t="s">
        <v>1192</v>
      </c>
      <c r="D16" s="137" t="s">
        <v>1215</v>
      </c>
      <c r="E16" s="140" t="s">
        <v>1212</v>
      </c>
      <c r="F16" s="142">
        <v>836900</v>
      </c>
      <c r="G16" s="143">
        <v>932464.38</v>
      </c>
      <c r="H16" s="137" t="s">
        <v>1213</v>
      </c>
      <c r="I16" s="141" t="s">
        <v>361</v>
      </c>
      <c r="J16" s="141" t="s">
        <v>1180</v>
      </c>
      <c r="K16" s="137"/>
      <c r="L16" s="138"/>
      <c r="M16" s="144"/>
    </row>
    <row r="17" spans="1:13" s="139" customFormat="1" ht="63">
      <c r="A17" s="135"/>
      <c r="B17" s="145"/>
      <c r="C17" s="136" t="s">
        <v>1202</v>
      </c>
      <c r="D17" s="137" t="s">
        <v>1215</v>
      </c>
      <c r="E17" s="140" t="s">
        <v>1214</v>
      </c>
      <c r="F17" s="142">
        <v>527300</v>
      </c>
      <c r="G17" s="143">
        <v>540542.31999999995</v>
      </c>
      <c r="H17" s="137" t="s">
        <v>1213</v>
      </c>
      <c r="I17" s="141" t="s">
        <v>361</v>
      </c>
      <c r="J17" s="141" t="s">
        <v>1180</v>
      </c>
      <c r="K17" s="137"/>
      <c r="L17" s="138"/>
      <c r="M17" s="144"/>
    </row>
    <row r="18" spans="1:13" s="139" customFormat="1" ht="84">
      <c r="A18" s="135"/>
      <c r="B18" s="145"/>
      <c r="C18" s="136" t="s">
        <v>1203</v>
      </c>
      <c r="D18" s="137" t="s">
        <v>1216</v>
      </c>
      <c r="E18" s="140" t="s">
        <v>1217</v>
      </c>
      <c r="F18" s="142">
        <v>565400</v>
      </c>
      <c r="G18" s="143">
        <v>581264.31000000006</v>
      </c>
      <c r="H18" s="137" t="s">
        <v>1213</v>
      </c>
      <c r="I18" s="141" t="s">
        <v>361</v>
      </c>
      <c r="J18" s="141" t="s">
        <v>1180</v>
      </c>
      <c r="K18" s="137"/>
      <c r="L18" s="138"/>
      <c r="M18" s="144"/>
    </row>
    <row r="19" spans="1:13" s="139" customFormat="1" ht="105">
      <c r="A19" s="135"/>
      <c r="B19" s="145"/>
      <c r="C19" s="136" t="s">
        <v>1204</v>
      </c>
      <c r="D19" s="137" t="s">
        <v>1216</v>
      </c>
      <c r="E19" s="140" t="s">
        <v>1218</v>
      </c>
      <c r="F19" s="142">
        <v>552400</v>
      </c>
      <c r="G19" s="143">
        <v>567945.68000000005</v>
      </c>
      <c r="H19" s="137" t="s">
        <v>1213</v>
      </c>
      <c r="I19" s="141" t="s">
        <v>361</v>
      </c>
      <c r="J19" s="141" t="s">
        <v>1180</v>
      </c>
      <c r="K19" s="137"/>
      <c r="L19" s="138"/>
      <c r="M19" s="144"/>
    </row>
    <row r="20" spans="1:13" s="139" customFormat="1" ht="105">
      <c r="A20" s="135"/>
      <c r="B20" s="145"/>
      <c r="C20" s="136" t="s">
        <v>1205</v>
      </c>
      <c r="D20" s="137" t="s">
        <v>1216</v>
      </c>
      <c r="E20" s="140" t="s">
        <v>1219</v>
      </c>
      <c r="F20" s="142">
        <v>551200</v>
      </c>
      <c r="G20" s="143">
        <v>565705.82999999996</v>
      </c>
      <c r="H20" s="137" t="s">
        <v>1213</v>
      </c>
      <c r="I20" s="141" t="s">
        <v>361</v>
      </c>
      <c r="J20" s="141" t="s">
        <v>1180</v>
      </c>
      <c r="K20" s="137"/>
      <c r="L20" s="138"/>
      <c r="M20" s="144"/>
    </row>
    <row r="21" spans="1:13" s="139" customFormat="1">
      <c r="A21" s="135"/>
      <c r="B21" s="145"/>
      <c r="C21" s="136"/>
      <c r="D21" s="137"/>
      <c r="E21" s="140"/>
      <c r="F21" s="142"/>
      <c r="G21" s="143"/>
      <c r="H21" s="137"/>
      <c r="I21" s="141"/>
      <c r="J21" s="141"/>
      <c r="K21" s="137"/>
      <c r="L21" s="138"/>
      <c r="M21" s="144"/>
    </row>
    <row r="22" spans="1:13" s="139" customFormat="1">
      <c r="A22" s="135"/>
      <c r="B22" s="145"/>
      <c r="C22" s="136"/>
      <c r="D22" s="137"/>
      <c r="E22" s="140"/>
      <c r="F22" s="142"/>
      <c r="G22" s="143"/>
      <c r="H22" s="137"/>
      <c r="I22" s="141"/>
      <c r="J22" s="141"/>
      <c r="K22" s="137"/>
      <c r="L22" s="138"/>
      <c r="M22" s="144"/>
    </row>
    <row r="23" spans="1:13" s="139" customFormat="1">
      <c r="A23" s="135"/>
      <c r="B23" s="145"/>
      <c r="C23" s="136"/>
      <c r="D23" s="137"/>
      <c r="E23" s="140"/>
      <c r="F23" s="142"/>
      <c r="G23" s="143"/>
      <c r="H23" s="137"/>
      <c r="I23" s="141"/>
      <c r="J23" s="141"/>
      <c r="K23" s="137"/>
      <c r="L23" s="138"/>
      <c r="M23" s="144"/>
    </row>
  </sheetData>
  <mergeCells count="11">
    <mergeCell ref="J5:J6"/>
    <mergeCell ref="K5:K6"/>
    <mergeCell ref="L5:L6"/>
    <mergeCell ref="M5:M6"/>
    <mergeCell ref="A1:M1"/>
    <mergeCell ref="A2:M2"/>
    <mergeCell ref="A3:M3"/>
    <mergeCell ref="A5:A6"/>
    <mergeCell ref="F5:F6"/>
    <mergeCell ref="G5:G6"/>
    <mergeCell ref="H5:H6"/>
  </mergeCells>
  <printOptions horizontalCentered="1"/>
  <pageMargins left="0" right="0" top="0.59055118110236227" bottom="0" header="0.59055118110236227" footer="0.31496062992125984"/>
  <pageSetup paperSize="5" orientation="landscape"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56"/>
  <sheetViews>
    <sheetView tabSelected="1" view="pageBreakPreview" zoomScaleNormal="100" zoomScaleSheetLayoutView="100" workbookViewId="0">
      <pane ySplit="6" topLeftCell="A25" activePane="bottomLeft" state="frozen"/>
      <selection pane="bottomLeft" activeCell="J40" sqref="J40"/>
    </sheetView>
  </sheetViews>
  <sheetFormatPr defaultColWidth="9" defaultRowHeight="21"/>
  <cols>
    <col min="1" max="1" width="10" style="85" customWidth="1"/>
    <col min="2" max="2" width="22" style="85" customWidth="1"/>
    <col min="3" max="3" width="15.85546875" style="78" customWidth="1"/>
    <col min="4" max="4" width="18.140625" style="78" customWidth="1"/>
    <col min="5" max="5" width="6.85546875" style="78" customWidth="1"/>
    <col min="6" max="6" width="7.7109375" style="78" customWidth="1"/>
    <col min="7" max="7" width="40.28515625" style="78" customWidth="1"/>
    <col min="8" max="8" width="13.85546875" style="86" customWidth="1"/>
    <col min="9" max="9" width="12" style="87" customWidth="1"/>
    <col min="10" max="10" width="12.7109375" style="85" customWidth="1"/>
    <col min="11" max="11" width="10.85546875" style="85" customWidth="1"/>
    <col min="12" max="12" width="27.140625" style="78" customWidth="1"/>
    <col min="13" max="16384" width="9" style="78"/>
  </cols>
  <sheetData>
    <row r="1" spans="1:11" ht="23.25">
      <c r="A1" s="526" t="s">
        <v>1229</v>
      </c>
      <c r="B1" s="526"/>
      <c r="C1" s="526"/>
      <c r="D1" s="526"/>
      <c r="E1" s="526"/>
      <c r="F1" s="526"/>
      <c r="G1" s="526"/>
      <c r="H1" s="526"/>
      <c r="I1" s="526"/>
      <c r="J1" s="526"/>
      <c r="K1" s="526"/>
    </row>
    <row r="2" spans="1:11" ht="23.25">
      <c r="A2" s="526" t="s">
        <v>24</v>
      </c>
      <c r="B2" s="526"/>
      <c r="C2" s="526"/>
      <c r="D2" s="526"/>
      <c r="E2" s="526"/>
      <c r="F2" s="526"/>
      <c r="G2" s="526"/>
      <c r="H2" s="526"/>
      <c r="I2" s="526"/>
      <c r="J2" s="526"/>
      <c r="K2" s="526"/>
    </row>
    <row r="3" spans="1:11" ht="23.25">
      <c r="A3" s="526" t="s">
        <v>1221</v>
      </c>
      <c r="B3" s="526"/>
      <c r="C3" s="526"/>
      <c r="D3" s="526"/>
      <c r="E3" s="526"/>
      <c r="F3" s="526"/>
      <c r="G3" s="526"/>
      <c r="H3" s="526"/>
      <c r="I3" s="526"/>
      <c r="J3" s="526"/>
      <c r="K3" s="526"/>
    </row>
    <row r="4" spans="1:11" ht="11.25" customHeight="1">
      <c r="A4" s="79"/>
      <c r="B4" s="79"/>
      <c r="C4" s="79"/>
      <c r="D4" s="79"/>
      <c r="E4" s="79"/>
      <c r="F4" s="79"/>
      <c r="G4" s="79"/>
      <c r="H4" s="79"/>
      <c r="I4" s="79"/>
      <c r="J4" s="79"/>
      <c r="K4" s="79"/>
    </row>
    <row r="5" spans="1:11">
      <c r="A5" s="522" t="s">
        <v>1222</v>
      </c>
      <c r="B5" s="522" t="s">
        <v>1236</v>
      </c>
      <c r="C5" s="522" t="s">
        <v>1223</v>
      </c>
      <c r="D5" s="522" t="s">
        <v>1235</v>
      </c>
      <c r="E5" s="522" t="s">
        <v>1224</v>
      </c>
      <c r="F5" s="522" t="s">
        <v>1225</v>
      </c>
      <c r="G5" s="522" t="s">
        <v>1226</v>
      </c>
      <c r="H5" s="496" t="s">
        <v>30</v>
      </c>
      <c r="I5" s="480" t="s">
        <v>1228</v>
      </c>
      <c r="J5" s="80" t="s">
        <v>1239</v>
      </c>
      <c r="K5" s="480" t="s">
        <v>1230</v>
      </c>
    </row>
    <row r="6" spans="1:11">
      <c r="A6" s="523"/>
      <c r="B6" s="523"/>
      <c r="C6" s="523"/>
      <c r="D6" s="523"/>
      <c r="E6" s="523"/>
      <c r="F6" s="523"/>
      <c r="G6" s="523"/>
      <c r="H6" s="82" t="s">
        <v>1227</v>
      </c>
      <c r="I6" s="481" t="s">
        <v>19</v>
      </c>
      <c r="J6" s="82" t="s">
        <v>1240</v>
      </c>
      <c r="K6" s="481" t="s">
        <v>1231</v>
      </c>
    </row>
    <row r="7" spans="1:11" s="139" customFormat="1" ht="55.5" customHeight="1">
      <c r="A7" s="559">
        <v>2567</v>
      </c>
      <c r="B7" s="560" t="s">
        <v>1232</v>
      </c>
      <c r="C7" s="561" t="s">
        <v>1233</v>
      </c>
      <c r="D7" s="562" t="s">
        <v>1234</v>
      </c>
      <c r="E7" s="563" t="s">
        <v>1237</v>
      </c>
      <c r="F7" s="562" t="s">
        <v>1238</v>
      </c>
      <c r="G7" s="564" t="s">
        <v>1246</v>
      </c>
      <c r="H7" s="565">
        <v>14000</v>
      </c>
      <c r="I7" s="566" t="s">
        <v>19</v>
      </c>
      <c r="J7" s="567" t="s">
        <v>1220</v>
      </c>
      <c r="K7" s="568">
        <v>243558</v>
      </c>
    </row>
    <row r="8" spans="1:11" s="139" customFormat="1" ht="51" customHeight="1">
      <c r="A8" s="135">
        <v>2567</v>
      </c>
      <c r="B8" s="492" t="s">
        <v>1232</v>
      </c>
      <c r="C8" s="136" t="s">
        <v>1233</v>
      </c>
      <c r="D8" s="137" t="s">
        <v>1234</v>
      </c>
      <c r="E8" s="494" t="s">
        <v>1237</v>
      </c>
      <c r="F8" s="137" t="s">
        <v>1238</v>
      </c>
      <c r="G8" s="140" t="s">
        <v>1245</v>
      </c>
      <c r="H8" s="142">
        <v>8500</v>
      </c>
      <c r="I8" s="143" t="s">
        <v>19</v>
      </c>
      <c r="J8" s="488" t="s">
        <v>1220</v>
      </c>
      <c r="K8" s="495">
        <v>243558</v>
      </c>
    </row>
    <row r="9" spans="1:11" s="139" customFormat="1" ht="51.75" customHeight="1">
      <c r="A9" s="135">
        <v>2567</v>
      </c>
      <c r="B9" s="492" t="s">
        <v>1232</v>
      </c>
      <c r="C9" s="136" t="s">
        <v>1233</v>
      </c>
      <c r="D9" s="137" t="s">
        <v>1234</v>
      </c>
      <c r="E9" s="494" t="s">
        <v>1237</v>
      </c>
      <c r="F9" s="137" t="s">
        <v>1238</v>
      </c>
      <c r="G9" s="140" t="s">
        <v>1247</v>
      </c>
      <c r="H9" s="142">
        <v>12000</v>
      </c>
      <c r="I9" s="143" t="s">
        <v>19</v>
      </c>
      <c r="J9" s="488" t="s">
        <v>1220</v>
      </c>
      <c r="K9" s="495">
        <v>243558</v>
      </c>
    </row>
    <row r="10" spans="1:11" s="139" customFormat="1" ht="48" customHeight="1">
      <c r="A10" s="135">
        <v>2567</v>
      </c>
      <c r="B10" s="492" t="s">
        <v>1232</v>
      </c>
      <c r="C10" s="136" t="s">
        <v>1233</v>
      </c>
      <c r="D10" s="137" t="s">
        <v>1234</v>
      </c>
      <c r="E10" s="494" t="s">
        <v>1237</v>
      </c>
      <c r="F10" s="137" t="s">
        <v>1238</v>
      </c>
      <c r="G10" s="140" t="s">
        <v>1243</v>
      </c>
      <c r="H10" s="142">
        <v>10000</v>
      </c>
      <c r="I10" s="143" t="s">
        <v>19</v>
      </c>
      <c r="J10" s="488" t="s">
        <v>1220</v>
      </c>
      <c r="K10" s="495">
        <v>243558</v>
      </c>
    </row>
    <row r="11" spans="1:11" s="139" customFormat="1" ht="49.5" customHeight="1">
      <c r="A11" s="135">
        <v>2567</v>
      </c>
      <c r="B11" s="492" t="s">
        <v>1232</v>
      </c>
      <c r="C11" s="136" t="s">
        <v>1233</v>
      </c>
      <c r="D11" s="137" t="s">
        <v>1234</v>
      </c>
      <c r="E11" s="494" t="s">
        <v>1237</v>
      </c>
      <c r="F11" s="137" t="s">
        <v>1238</v>
      </c>
      <c r="G11" s="140" t="s">
        <v>1244</v>
      </c>
      <c r="H11" s="493">
        <v>72000</v>
      </c>
      <c r="I11" s="143" t="s">
        <v>19</v>
      </c>
      <c r="J11" s="488" t="s">
        <v>1220</v>
      </c>
      <c r="K11" s="495">
        <v>243558</v>
      </c>
    </row>
    <row r="12" spans="1:11" s="139" customFormat="1" ht="58.5" customHeight="1">
      <c r="A12" s="135">
        <v>2567</v>
      </c>
      <c r="B12" s="492" t="s">
        <v>1232</v>
      </c>
      <c r="C12" s="136" t="s">
        <v>1233</v>
      </c>
      <c r="D12" s="137" t="s">
        <v>1234</v>
      </c>
      <c r="E12" s="494" t="s">
        <v>1237</v>
      </c>
      <c r="F12" s="137" t="s">
        <v>1238</v>
      </c>
      <c r="G12" s="140" t="s">
        <v>1241</v>
      </c>
      <c r="H12" s="142">
        <v>24000</v>
      </c>
      <c r="I12" s="143" t="s">
        <v>19</v>
      </c>
      <c r="J12" s="488" t="s">
        <v>1220</v>
      </c>
      <c r="K12" s="495">
        <v>243558</v>
      </c>
    </row>
    <row r="13" spans="1:11" s="139" customFormat="1" ht="69.75" customHeight="1">
      <c r="A13" s="135">
        <v>2567</v>
      </c>
      <c r="B13" s="492" t="s">
        <v>1232</v>
      </c>
      <c r="C13" s="136" t="s">
        <v>1233</v>
      </c>
      <c r="D13" s="137" t="s">
        <v>1234</v>
      </c>
      <c r="E13" s="494" t="s">
        <v>1237</v>
      </c>
      <c r="F13" s="137" t="s">
        <v>1238</v>
      </c>
      <c r="G13" s="140" t="s">
        <v>1242</v>
      </c>
      <c r="H13" s="142">
        <v>24000</v>
      </c>
      <c r="I13" s="143" t="s">
        <v>19</v>
      </c>
      <c r="J13" s="488" t="s">
        <v>1220</v>
      </c>
      <c r="K13" s="495">
        <v>243344</v>
      </c>
    </row>
    <row r="14" spans="1:11" s="139" customFormat="1" ht="69.75" customHeight="1">
      <c r="A14" s="135">
        <v>2567</v>
      </c>
      <c r="B14" s="492" t="s">
        <v>1232</v>
      </c>
      <c r="C14" s="136" t="s">
        <v>1233</v>
      </c>
      <c r="D14" s="137" t="s">
        <v>1234</v>
      </c>
      <c r="E14" s="494" t="s">
        <v>1237</v>
      </c>
      <c r="F14" s="137" t="s">
        <v>1238</v>
      </c>
      <c r="G14" s="140" t="s">
        <v>1248</v>
      </c>
      <c r="H14" s="142">
        <v>223200</v>
      </c>
      <c r="I14" s="143" t="s">
        <v>19</v>
      </c>
      <c r="J14" s="488" t="s">
        <v>1220</v>
      </c>
      <c r="K14" s="495">
        <v>243344</v>
      </c>
    </row>
    <row r="15" spans="1:11" s="139" customFormat="1" ht="55.5" customHeight="1">
      <c r="A15" s="135">
        <v>2567</v>
      </c>
      <c r="B15" s="492" t="s">
        <v>1232</v>
      </c>
      <c r="C15" s="136" t="s">
        <v>1233</v>
      </c>
      <c r="D15" s="137" t="s">
        <v>1234</v>
      </c>
      <c r="E15" s="494" t="s">
        <v>1237</v>
      </c>
      <c r="F15" s="137" t="s">
        <v>1238</v>
      </c>
      <c r="G15" s="140" t="s">
        <v>1249</v>
      </c>
      <c r="H15" s="142">
        <v>12000</v>
      </c>
      <c r="I15" s="143" t="s">
        <v>19</v>
      </c>
      <c r="J15" s="488" t="s">
        <v>1220</v>
      </c>
      <c r="K15" s="495">
        <v>243405</v>
      </c>
    </row>
    <row r="16" spans="1:11" s="139" customFormat="1" ht="53.25" customHeight="1">
      <c r="A16" s="135">
        <v>2567</v>
      </c>
      <c r="B16" s="492" t="s">
        <v>1232</v>
      </c>
      <c r="C16" s="136" t="s">
        <v>1233</v>
      </c>
      <c r="D16" s="137" t="s">
        <v>1234</v>
      </c>
      <c r="E16" s="494" t="s">
        <v>1237</v>
      </c>
      <c r="F16" s="137" t="s">
        <v>1238</v>
      </c>
      <c r="G16" s="140" t="s">
        <v>1250</v>
      </c>
      <c r="H16" s="142">
        <v>118000</v>
      </c>
      <c r="I16" s="143" t="s">
        <v>19</v>
      </c>
      <c r="J16" s="488" t="s">
        <v>1220</v>
      </c>
      <c r="K16" s="495">
        <v>243405</v>
      </c>
    </row>
    <row r="17" spans="1:12" s="139" customFormat="1" ht="66.75" customHeight="1">
      <c r="A17" s="135">
        <v>2567</v>
      </c>
      <c r="B17" s="492" t="s">
        <v>1232</v>
      </c>
      <c r="C17" s="136" t="s">
        <v>1233</v>
      </c>
      <c r="D17" s="137" t="s">
        <v>1234</v>
      </c>
      <c r="E17" s="494" t="s">
        <v>1237</v>
      </c>
      <c r="F17" s="137" t="s">
        <v>1238</v>
      </c>
      <c r="G17" s="140" t="s">
        <v>1251</v>
      </c>
      <c r="H17" s="142">
        <v>31700</v>
      </c>
      <c r="I17" s="143" t="s">
        <v>19</v>
      </c>
      <c r="J17" s="488" t="s">
        <v>1220</v>
      </c>
      <c r="K17" s="495">
        <v>243405</v>
      </c>
    </row>
    <row r="18" spans="1:12" s="139" customFormat="1" ht="80.099999999999994" customHeight="1">
      <c r="A18" s="135">
        <v>2567</v>
      </c>
      <c r="B18" s="492" t="s">
        <v>1232</v>
      </c>
      <c r="C18" s="136" t="s">
        <v>1233</v>
      </c>
      <c r="D18" s="137" t="s">
        <v>1234</v>
      </c>
      <c r="E18" s="494" t="s">
        <v>1237</v>
      </c>
      <c r="F18" s="137" t="s">
        <v>1238</v>
      </c>
      <c r="G18" s="489" t="s">
        <v>1252</v>
      </c>
      <c r="H18" s="142">
        <v>87500</v>
      </c>
      <c r="I18" s="143" t="s">
        <v>19</v>
      </c>
      <c r="J18" s="488" t="s">
        <v>1220</v>
      </c>
      <c r="K18" s="495">
        <v>243405</v>
      </c>
    </row>
    <row r="19" spans="1:12" s="139" customFormat="1" ht="98.25" customHeight="1">
      <c r="A19" s="135">
        <v>2567</v>
      </c>
      <c r="B19" s="492" t="s">
        <v>1232</v>
      </c>
      <c r="C19" s="136" t="s">
        <v>1233</v>
      </c>
      <c r="D19" s="137" t="s">
        <v>1234</v>
      </c>
      <c r="E19" s="494" t="s">
        <v>1237</v>
      </c>
      <c r="F19" s="137" t="s">
        <v>1238</v>
      </c>
      <c r="G19" s="489" t="s">
        <v>1253</v>
      </c>
      <c r="H19" s="142">
        <v>55000</v>
      </c>
      <c r="I19" s="143" t="s">
        <v>19</v>
      </c>
      <c r="J19" s="488" t="s">
        <v>1220</v>
      </c>
      <c r="K19" s="495">
        <v>243405</v>
      </c>
    </row>
    <row r="20" spans="1:12" s="139" customFormat="1" ht="80.099999999999994" customHeight="1">
      <c r="A20" s="135">
        <v>2567</v>
      </c>
      <c r="B20" s="492" t="s">
        <v>1232</v>
      </c>
      <c r="C20" s="136" t="s">
        <v>1233</v>
      </c>
      <c r="D20" s="137" t="s">
        <v>1234</v>
      </c>
      <c r="E20" s="494" t="s">
        <v>1237</v>
      </c>
      <c r="F20" s="137" t="s">
        <v>1238</v>
      </c>
      <c r="G20" s="489" t="s">
        <v>1254</v>
      </c>
      <c r="H20" s="142">
        <v>498100</v>
      </c>
      <c r="I20" s="143" t="s">
        <v>19</v>
      </c>
      <c r="J20" s="488" t="s">
        <v>1220</v>
      </c>
      <c r="K20" s="495">
        <v>243374</v>
      </c>
    </row>
    <row r="21" spans="1:12" s="139" customFormat="1" ht="96" customHeight="1">
      <c r="A21" s="135">
        <v>2567</v>
      </c>
      <c r="B21" s="492" t="s">
        <v>1232</v>
      </c>
      <c r="C21" s="136" t="s">
        <v>1233</v>
      </c>
      <c r="D21" s="137" t="s">
        <v>1234</v>
      </c>
      <c r="E21" s="494" t="s">
        <v>1237</v>
      </c>
      <c r="F21" s="137" t="s">
        <v>1238</v>
      </c>
      <c r="G21" s="489" t="s">
        <v>1255</v>
      </c>
      <c r="H21" s="142">
        <v>120200</v>
      </c>
      <c r="I21" s="143" t="s">
        <v>19</v>
      </c>
      <c r="J21" s="488" t="s">
        <v>1220</v>
      </c>
      <c r="K21" s="495">
        <v>243374</v>
      </c>
      <c r="L21" s="141"/>
    </row>
    <row r="22" spans="1:12" s="139" customFormat="1" ht="96.75" customHeight="1">
      <c r="A22" s="135">
        <v>2567</v>
      </c>
      <c r="B22" s="492" t="s">
        <v>1232</v>
      </c>
      <c r="C22" s="136" t="s">
        <v>1233</v>
      </c>
      <c r="D22" s="137" t="s">
        <v>1234</v>
      </c>
      <c r="E22" s="494" t="s">
        <v>1237</v>
      </c>
      <c r="F22" s="137" t="s">
        <v>1238</v>
      </c>
      <c r="G22" s="489" t="s">
        <v>1256</v>
      </c>
      <c r="H22" s="142">
        <v>497500</v>
      </c>
      <c r="I22" s="143" t="s">
        <v>19</v>
      </c>
      <c r="J22" s="488" t="s">
        <v>1220</v>
      </c>
      <c r="K22" s="495">
        <v>243374</v>
      </c>
      <c r="L22" s="180"/>
    </row>
    <row r="23" spans="1:12" s="139" customFormat="1" ht="90.75" customHeight="1">
      <c r="A23" s="135">
        <v>2567</v>
      </c>
      <c r="B23" s="492" t="s">
        <v>1232</v>
      </c>
      <c r="C23" s="136" t="s">
        <v>1233</v>
      </c>
      <c r="D23" s="137" t="s">
        <v>1234</v>
      </c>
      <c r="E23" s="494" t="s">
        <v>1237</v>
      </c>
      <c r="F23" s="137" t="s">
        <v>1238</v>
      </c>
      <c r="G23" s="489" t="s">
        <v>1257</v>
      </c>
      <c r="H23" s="142">
        <v>314900</v>
      </c>
      <c r="I23" s="143" t="s">
        <v>19</v>
      </c>
      <c r="J23" s="488" t="s">
        <v>1220</v>
      </c>
      <c r="K23" s="495">
        <v>243374</v>
      </c>
      <c r="L23" s="180"/>
    </row>
    <row r="24" spans="1:12" s="139" customFormat="1" ht="80.099999999999994" customHeight="1">
      <c r="A24" s="135">
        <v>2567</v>
      </c>
      <c r="B24" s="492" t="s">
        <v>1232</v>
      </c>
      <c r="C24" s="136" t="s">
        <v>1233</v>
      </c>
      <c r="D24" s="137" t="s">
        <v>1234</v>
      </c>
      <c r="E24" s="494" t="s">
        <v>1237</v>
      </c>
      <c r="F24" s="137" t="s">
        <v>1238</v>
      </c>
      <c r="G24" s="489" t="s">
        <v>1258</v>
      </c>
      <c r="H24" s="142">
        <v>329800</v>
      </c>
      <c r="I24" s="143" t="s">
        <v>19</v>
      </c>
      <c r="J24" s="488" t="s">
        <v>1220</v>
      </c>
      <c r="K24" s="495">
        <v>243374</v>
      </c>
      <c r="L24" s="180"/>
    </row>
    <row r="25" spans="1:12" s="139" customFormat="1" ht="93.75" customHeight="1">
      <c r="A25" s="135">
        <v>2567</v>
      </c>
      <c r="B25" s="492" t="s">
        <v>1232</v>
      </c>
      <c r="C25" s="136" t="s">
        <v>1233</v>
      </c>
      <c r="D25" s="137" t="s">
        <v>1234</v>
      </c>
      <c r="E25" s="494" t="s">
        <v>1237</v>
      </c>
      <c r="F25" s="137" t="s">
        <v>1238</v>
      </c>
      <c r="G25" s="489" t="s">
        <v>1260</v>
      </c>
      <c r="H25" s="142">
        <v>498500</v>
      </c>
      <c r="I25" s="143" t="s">
        <v>19</v>
      </c>
      <c r="J25" s="488" t="s">
        <v>1220</v>
      </c>
      <c r="K25" s="495">
        <v>243374</v>
      </c>
    </row>
    <row r="26" spans="1:12" s="139" customFormat="1" ht="93.75" customHeight="1">
      <c r="A26" s="135">
        <v>2567</v>
      </c>
      <c r="B26" s="492" t="s">
        <v>1232</v>
      </c>
      <c r="C26" s="136" t="s">
        <v>1233</v>
      </c>
      <c r="D26" s="137" t="s">
        <v>1234</v>
      </c>
      <c r="E26" s="494" t="s">
        <v>1237</v>
      </c>
      <c r="F26" s="137" t="s">
        <v>1238</v>
      </c>
      <c r="G26" s="489" t="s">
        <v>1259</v>
      </c>
      <c r="H26" s="142">
        <v>260000</v>
      </c>
      <c r="I26" s="143" t="s">
        <v>19</v>
      </c>
      <c r="J26" s="488" t="s">
        <v>1220</v>
      </c>
      <c r="K26" s="495">
        <v>243374</v>
      </c>
      <c r="L26" s="490"/>
    </row>
    <row r="27" spans="1:12" s="139" customFormat="1" ht="91.5" customHeight="1">
      <c r="A27" s="135">
        <v>2567</v>
      </c>
      <c r="B27" s="492" t="s">
        <v>1232</v>
      </c>
      <c r="C27" s="136" t="s">
        <v>1233</v>
      </c>
      <c r="D27" s="137" t="s">
        <v>1234</v>
      </c>
      <c r="E27" s="494" t="s">
        <v>1237</v>
      </c>
      <c r="F27" s="137" t="s">
        <v>1238</v>
      </c>
      <c r="G27" s="489" t="s">
        <v>1261</v>
      </c>
      <c r="H27" s="142">
        <v>240800</v>
      </c>
      <c r="I27" s="143" t="s">
        <v>19</v>
      </c>
      <c r="J27" s="488" t="s">
        <v>1220</v>
      </c>
      <c r="K27" s="495">
        <v>243374</v>
      </c>
      <c r="L27" s="491"/>
    </row>
    <row r="28" spans="1:12" s="139" customFormat="1" ht="92.25" customHeight="1">
      <c r="A28" s="135">
        <v>2567</v>
      </c>
      <c r="B28" s="492" t="s">
        <v>1232</v>
      </c>
      <c r="C28" s="136" t="s">
        <v>1233</v>
      </c>
      <c r="D28" s="137" t="s">
        <v>1234</v>
      </c>
      <c r="E28" s="494" t="s">
        <v>1237</v>
      </c>
      <c r="F28" s="137" t="s">
        <v>1238</v>
      </c>
      <c r="G28" s="489" t="s">
        <v>1262</v>
      </c>
      <c r="H28" s="142">
        <v>498500</v>
      </c>
      <c r="I28" s="143" t="s">
        <v>19</v>
      </c>
      <c r="J28" s="488" t="s">
        <v>1220</v>
      </c>
      <c r="K28" s="495">
        <v>243374</v>
      </c>
    </row>
    <row r="29" spans="1:12" s="139" customFormat="1" ht="93" customHeight="1">
      <c r="A29" s="135">
        <v>2567</v>
      </c>
      <c r="B29" s="492" t="s">
        <v>1232</v>
      </c>
      <c r="C29" s="136" t="s">
        <v>1233</v>
      </c>
      <c r="D29" s="137" t="s">
        <v>1234</v>
      </c>
      <c r="E29" s="494" t="s">
        <v>1237</v>
      </c>
      <c r="F29" s="137" t="s">
        <v>1238</v>
      </c>
      <c r="G29" s="489" t="s">
        <v>1263</v>
      </c>
      <c r="H29" s="142">
        <v>498100</v>
      </c>
      <c r="I29" s="143" t="s">
        <v>19</v>
      </c>
      <c r="J29" s="488" t="s">
        <v>1220</v>
      </c>
      <c r="K29" s="495">
        <v>243374</v>
      </c>
    </row>
    <row r="30" spans="1:12" s="139" customFormat="1" ht="75" customHeight="1">
      <c r="A30" s="135">
        <v>2567</v>
      </c>
      <c r="B30" s="492" t="s">
        <v>1232</v>
      </c>
      <c r="C30" s="136" t="s">
        <v>1233</v>
      </c>
      <c r="D30" s="137" t="s">
        <v>1234</v>
      </c>
      <c r="E30" s="494" t="s">
        <v>1237</v>
      </c>
      <c r="F30" s="137" t="s">
        <v>1238</v>
      </c>
      <c r="G30" s="489" t="s">
        <v>1264</v>
      </c>
      <c r="H30" s="142">
        <v>498500</v>
      </c>
      <c r="I30" s="143" t="s">
        <v>19</v>
      </c>
      <c r="J30" s="488" t="s">
        <v>1220</v>
      </c>
      <c r="K30" s="495">
        <v>243374</v>
      </c>
    </row>
    <row r="31" spans="1:12" s="139" customFormat="1" ht="76.5" customHeight="1">
      <c r="A31" s="135">
        <v>2567</v>
      </c>
      <c r="B31" s="492" t="s">
        <v>1232</v>
      </c>
      <c r="C31" s="136" t="s">
        <v>1233</v>
      </c>
      <c r="D31" s="137" t="s">
        <v>1234</v>
      </c>
      <c r="E31" s="494" t="s">
        <v>1237</v>
      </c>
      <c r="F31" s="137" t="s">
        <v>1238</v>
      </c>
      <c r="G31" s="489" t="s">
        <v>1264</v>
      </c>
      <c r="H31" s="142">
        <v>498500</v>
      </c>
      <c r="I31" s="143" t="s">
        <v>19</v>
      </c>
      <c r="J31" s="488" t="s">
        <v>1220</v>
      </c>
      <c r="K31" s="495">
        <v>243374</v>
      </c>
    </row>
    <row r="32" spans="1:12" s="139" customFormat="1" ht="91.5" customHeight="1">
      <c r="A32" s="135">
        <v>2567</v>
      </c>
      <c r="B32" s="492" t="s">
        <v>1232</v>
      </c>
      <c r="C32" s="136" t="s">
        <v>1233</v>
      </c>
      <c r="D32" s="137" t="s">
        <v>1234</v>
      </c>
      <c r="E32" s="494" t="s">
        <v>1237</v>
      </c>
      <c r="F32" s="137" t="s">
        <v>1238</v>
      </c>
      <c r="G32" s="489" t="s">
        <v>1265</v>
      </c>
      <c r="H32" s="142">
        <v>92500</v>
      </c>
      <c r="I32" s="143" t="s">
        <v>19</v>
      </c>
      <c r="J32" s="488" t="s">
        <v>1220</v>
      </c>
      <c r="K32" s="495">
        <v>243374</v>
      </c>
    </row>
    <row r="33" spans="1:11" s="139" customFormat="1" ht="72.75" customHeight="1">
      <c r="A33" s="135">
        <v>2567</v>
      </c>
      <c r="B33" s="492" t="s">
        <v>1232</v>
      </c>
      <c r="C33" s="136" t="s">
        <v>1233</v>
      </c>
      <c r="D33" s="137" t="s">
        <v>1234</v>
      </c>
      <c r="E33" s="494" t="s">
        <v>1237</v>
      </c>
      <c r="F33" s="137" t="s">
        <v>1238</v>
      </c>
      <c r="G33" s="489" t="s">
        <v>1266</v>
      </c>
      <c r="H33" s="142">
        <v>98400</v>
      </c>
      <c r="I33" s="143" t="s">
        <v>19</v>
      </c>
      <c r="J33" s="488" t="s">
        <v>1220</v>
      </c>
      <c r="K33" s="495">
        <v>243374</v>
      </c>
    </row>
    <row r="34" spans="1:11" s="139" customFormat="1" ht="75.75" customHeight="1">
      <c r="A34" s="135">
        <v>2567</v>
      </c>
      <c r="B34" s="492" t="s">
        <v>1232</v>
      </c>
      <c r="C34" s="136" t="s">
        <v>1233</v>
      </c>
      <c r="D34" s="137" t="s">
        <v>1234</v>
      </c>
      <c r="E34" s="494" t="s">
        <v>1237</v>
      </c>
      <c r="F34" s="137" t="s">
        <v>1238</v>
      </c>
      <c r="G34" s="489" t="s">
        <v>1267</v>
      </c>
      <c r="H34" s="142">
        <v>497500</v>
      </c>
      <c r="I34" s="143" t="s">
        <v>19</v>
      </c>
      <c r="J34" s="488" t="s">
        <v>1220</v>
      </c>
      <c r="K34" s="495">
        <v>243374</v>
      </c>
    </row>
    <row r="35" spans="1:11" s="139" customFormat="1" ht="96.75" customHeight="1">
      <c r="A35" s="135">
        <v>2567</v>
      </c>
      <c r="B35" s="492" t="s">
        <v>1232</v>
      </c>
      <c r="C35" s="136" t="s">
        <v>1233</v>
      </c>
      <c r="D35" s="137" t="s">
        <v>1234</v>
      </c>
      <c r="E35" s="494" t="s">
        <v>1237</v>
      </c>
      <c r="F35" s="137" t="s">
        <v>1238</v>
      </c>
      <c r="G35" s="489" t="s">
        <v>1268</v>
      </c>
      <c r="H35" s="142">
        <v>180800</v>
      </c>
      <c r="I35" s="143" t="s">
        <v>19</v>
      </c>
      <c r="J35" s="488" t="s">
        <v>1220</v>
      </c>
      <c r="K35" s="495">
        <v>243374</v>
      </c>
    </row>
    <row r="36" spans="1:11" s="139" customFormat="1" ht="75" customHeight="1">
      <c r="A36" s="135">
        <v>2567</v>
      </c>
      <c r="B36" s="492" t="s">
        <v>1232</v>
      </c>
      <c r="C36" s="136" t="s">
        <v>1233</v>
      </c>
      <c r="D36" s="137" t="s">
        <v>1234</v>
      </c>
      <c r="E36" s="494" t="s">
        <v>1237</v>
      </c>
      <c r="F36" s="137" t="s">
        <v>1238</v>
      </c>
      <c r="G36" s="489" t="s">
        <v>1269</v>
      </c>
      <c r="H36" s="142">
        <v>259000</v>
      </c>
      <c r="I36" s="143" t="s">
        <v>19</v>
      </c>
      <c r="J36" s="488" t="s">
        <v>1220</v>
      </c>
      <c r="K36" s="495">
        <v>243374</v>
      </c>
    </row>
    <row r="37" spans="1:11" s="139" customFormat="1" ht="74.25" customHeight="1">
      <c r="A37" s="135">
        <v>2567</v>
      </c>
      <c r="B37" s="492" t="s">
        <v>1232</v>
      </c>
      <c r="C37" s="136" t="s">
        <v>1233</v>
      </c>
      <c r="D37" s="137" t="s">
        <v>1234</v>
      </c>
      <c r="E37" s="494" t="s">
        <v>1237</v>
      </c>
      <c r="F37" s="137" t="s">
        <v>1238</v>
      </c>
      <c r="G37" s="489" t="s">
        <v>1270</v>
      </c>
      <c r="H37" s="142">
        <v>499200</v>
      </c>
      <c r="I37" s="143" t="s">
        <v>19</v>
      </c>
      <c r="J37" s="488" t="s">
        <v>1220</v>
      </c>
      <c r="K37" s="495">
        <v>243374</v>
      </c>
    </row>
    <row r="38" spans="1:11" s="139" customFormat="1" ht="96.75" customHeight="1">
      <c r="A38" s="135">
        <v>2567</v>
      </c>
      <c r="B38" s="492" t="s">
        <v>1232</v>
      </c>
      <c r="C38" s="136" t="s">
        <v>1233</v>
      </c>
      <c r="D38" s="137" t="s">
        <v>1234</v>
      </c>
      <c r="E38" s="494" t="s">
        <v>1237</v>
      </c>
      <c r="F38" s="137" t="s">
        <v>1238</v>
      </c>
      <c r="G38" s="489" t="s">
        <v>1271</v>
      </c>
      <c r="H38" s="142">
        <v>499300</v>
      </c>
      <c r="I38" s="143" t="s">
        <v>19</v>
      </c>
      <c r="J38" s="488" t="s">
        <v>1220</v>
      </c>
      <c r="K38" s="495">
        <v>243374</v>
      </c>
    </row>
    <row r="39" spans="1:11" s="139" customFormat="1" ht="99.75" customHeight="1">
      <c r="A39" s="135">
        <v>2567</v>
      </c>
      <c r="B39" s="492" t="s">
        <v>1232</v>
      </c>
      <c r="C39" s="136" t="s">
        <v>1233</v>
      </c>
      <c r="D39" s="137" t="s">
        <v>1234</v>
      </c>
      <c r="E39" s="494" t="s">
        <v>1237</v>
      </c>
      <c r="F39" s="137" t="s">
        <v>1238</v>
      </c>
      <c r="G39" s="489" t="s">
        <v>1272</v>
      </c>
      <c r="H39" s="142">
        <v>497200</v>
      </c>
      <c r="I39" s="143" t="s">
        <v>19</v>
      </c>
      <c r="J39" s="488" t="s">
        <v>1220</v>
      </c>
      <c r="K39" s="495">
        <v>243374</v>
      </c>
    </row>
    <row r="40" spans="1:11" s="139" customFormat="1" ht="96">
      <c r="A40" s="135">
        <v>2567</v>
      </c>
      <c r="B40" s="492" t="s">
        <v>1232</v>
      </c>
      <c r="C40" s="136" t="s">
        <v>1233</v>
      </c>
      <c r="D40" s="137" t="s">
        <v>1234</v>
      </c>
      <c r="E40" s="494" t="s">
        <v>1237</v>
      </c>
      <c r="F40" s="137" t="s">
        <v>1238</v>
      </c>
      <c r="G40" s="489" t="s">
        <v>1273</v>
      </c>
      <c r="H40" s="142">
        <v>491700</v>
      </c>
      <c r="I40" s="143" t="s">
        <v>19</v>
      </c>
      <c r="J40" s="488" t="s">
        <v>1220</v>
      </c>
      <c r="K40" s="495">
        <v>243374</v>
      </c>
    </row>
    <row r="41" spans="1:11" s="139" customFormat="1" ht="120">
      <c r="A41" s="135">
        <v>2567</v>
      </c>
      <c r="B41" s="492" t="s">
        <v>1232</v>
      </c>
      <c r="C41" s="136" t="s">
        <v>1233</v>
      </c>
      <c r="D41" s="137" t="s">
        <v>1234</v>
      </c>
      <c r="E41" s="494" t="s">
        <v>1237</v>
      </c>
      <c r="F41" s="137" t="s">
        <v>1238</v>
      </c>
      <c r="G41" s="489" t="s">
        <v>1274</v>
      </c>
      <c r="H41" s="142">
        <v>470800</v>
      </c>
      <c r="I41" s="143" t="s">
        <v>19</v>
      </c>
      <c r="J41" s="488" t="s">
        <v>1220</v>
      </c>
      <c r="K41" s="495">
        <v>243374</v>
      </c>
    </row>
    <row r="42" spans="1:11" s="139" customFormat="1" ht="120">
      <c r="A42" s="135">
        <v>2567</v>
      </c>
      <c r="B42" s="492" t="s">
        <v>1232</v>
      </c>
      <c r="C42" s="136" t="s">
        <v>1233</v>
      </c>
      <c r="D42" s="137" t="s">
        <v>1234</v>
      </c>
      <c r="E42" s="494" t="s">
        <v>1237</v>
      </c>
      <c r="F42" s="137" t="s">
        <v>1238</v>
      </c>
      <c r="G42" s="489" t="s">
        <v>1275</v>
      </c>
      <c r="H42" s="142">
        <v>496600</v>
      </c>
      <c r="I42" s="143" t="s">
        <v>19</v>
      </c>
      <c r="J42" s="488" t="s">
        <v>1220</v>
      </c>
      <c r="K42" s="495">
        <v>243374</v>
      </c>
    </row>
    <row r="43" spans="1:11" s="139" customFormat="1" ht="48.75" customHeight="1">
      <c r="A43" s="135">
        <v>2567</v>
      </c>
      <c r="B43" s="492" t="s">
        <v>1232</v>
      </c>
      <c r="C43" s="136" t="s">
        <v>1233</v>
      </c>
      <c r="D43" s="137" t="s">
        <v>1234</v>
      </c>
      <c r="E43" s="494" t="s">
        <v>1237</v>
      </c>
      <c r="F43" s="137" t="s">
        <v>1238</v>
      </c>
      <c r="G43" s="489" t="s">
        <v>1276</v>
      </c>
      <c r="H43" s="142">
        <v>1775900</v>
      </c>
      <c r="I43" s="143" t="s">
        <v>19</v>
      </c>
      <c r="J43" s="488" t="s">
        <v>1220</v>
      </c>
      <c r="K43" s="495">
        <v>243374</v>
      </c>
    </row>
    <row r="44" spans="1:11" s="139" customFormat="1" ht="21.75">
      <c r="A44" s="135"/>
      <c r="B44" s="145"/>
      <c r="C44" s="136"/>
      <c r="D44" s="137"/>
      <c r="E44" s="137"/>
      <c r="F44" s="137"/>
      <c r="G44" s="484"/>
      <c r="H44" s="142"/>
      <c r="I44" s="143"/>
      <c r="J44" s="141"/>
      <c r="K44" s="137"/>
    </row>
    <row r="45" spans="1:11" s="139" customFormat="1">
      <c r="A45" s="497"/>
      <c r="B45" s="498"/>
      <c r="C45" s="499"/>
      <c r="D45" s="500"/>
      <c r="E45" s="500"/>
      <c r="F45" s="500"/>
      <c r="G45" s="501" t="s">
        <v>65</v>
      </c>
      <c r="H45" s="502">
        <f>SUM(H7:H44)</f>
        <v>11304200</v>
      </c>
      <c r="I45" s="503"/>
      <c r="J45" s="215"/>
      <c r="K45" s="500"/>
    </row>
    <row r="46" spans="1:11" s="139" customFormat="1" ht="21.75">
      <c r="A46" s="504"/>
      <c r="B46" s="505"/>
      <c r="C46" s="506"/>
      <c r="D46" s="507"/>
      <c r="E46" s="507"/>
      <c r="F46" s="507"/>
      <c r="G46" s="508"/>
      <c r="H46" s="509"/>
      <c r="I46" s="510"/>
      <c r="J46" s="511"/>
      <c r="K46" s="507"/>
    </row>
    <row r="47" spans="1:11" s="139" customFormat="1" ht="21.75">
      <c r="A47" s="512"/>
      <c r="B47" s="513"/>
      <c r="C47" s="514"/>
      <c r="D47" s="515"/>
      <c r="E47" s="515"/>
      <c r="F47" s="515"/>
      <c r="G47" s="516"/>
      <c r="H47" s="517"/>
      <c r="I47" s="518"/>
      <c r="J47" s="180"/>
      <c r="K47" s="515"/>
    </row>
    <row r="48" spans="1:11" s="139" customFormat="1" ht="21.75">
      <c r="A48" s="512"/>
      <c r="B48" s="513"/>
      <c r="C48" s="514"/>
      <c r="D48" s="515"/>
      <c r="E48" s="515"/>
      <c r="F48" s="515"/>
      <c r="G48" s="516"/>
      <c r="H48" s="517"/>
      <c r="I48" s="518"/>
      <c r="J48" s="180"/>
      <c r="K48" s="515"/>
    </row>
    <row r="49" spans="1:11" s="139" customFormat="1" ht="21.75">
      <c r="A49" s="512"/>
      <c r="B49" s="519"/>
      <c r="C49" s="514"/>
      <c r="D49" s="515"/>
      <c r="E49" s="515"/>
      <c r="F49" s="515"/>
      <c r="G49" s="516"/>
      <c r="H49" s="517"/>
      <c r="I49" s="518"/>
      <c r="J49" s="180"/>
      <c r="K49" s="515"/>
    </row>
    <row r="50" spans="1:11" s="139" customFormat="1" ht="21.75">
      <c r="A50" s="512"/>
      <c r="B50" s="513"/>
      <c r="C50" s="514"/>
      <c r="D50" s="515"/>
      <c r="E50" s="515"/>
      <c r="F50" s="515"/>
      <c r="G50" s="516"/>
      <c r="H50" s="517"/>
      <c r="I50" s="518"/>
      <c r="J50" s="180"/>
      <c r="K50" s="515"/>
    </row>
    <row r="51" spans="1:11" s="139" customFormat="1" ht="24">
      <c r="A51" s="512"/>
      <c r="B51" s="513"/>
      <c r="C51" s="514"/>
      <c r="D51" s="515"/>
      <c r="E51" s="515"/>
      <c r="F51" s="515"/>
      <c r="G51" s="520"/>
      <c r="H51" s="517"/>
      <c r="I51" s="518"/>
      <c r="J51" s="180"/>
      <c r="K51" s="515"/>
    </row>
    <row r="52" spans="1:11" s="139" customFormat="1" ht="24">
      <c r="A52" s="512"/>
      <c r="B52" s="513"/>
      <c r="C52" s="514"/>
      <c r="D52" s="515"/>
      <c r="E52" s="515"/>
      <c r="F52" s="515"/>
      <c r="G52" s="520"/>
      <c r="H52" s="517"/>
      <c r="I52" s="518"/>
      <c r="J52" s="180"/>
      <c r="K52" s="515"/>
    </row>
    <row r="53" spans="1:11" s="139" customFormat="1" ht="21.75">
      <c r="A53" s="512"/>
      <c r="B53" s="513"/>
      <c r="C53" s="514"/>
      <c r="D53" s="515"/>
      <c r="E53" s="515"/>
      <c r="F53" s="515"/>
      <c r="G53" s="516"/>
      <c r="H53" s="517"/>
      <c r="I53" s="518"/>
      <c r="J53" s="180"/>
      <c r="K53" s="515"/>
    </row>
    <row r="54" spans="1:11" s="139" customFormat="1" ht="21.75">
      <c r="A54" s="512"/>
      <c r="B54" s="513"/>
      <c r="C54" s="514"/>
      <c r="D54" s="515"/>
      <c r="E54" s="515"/>
      <c r="F54" s="515"/>
      <c r="G54" s="516"/>
      <c r="H54" s="517"/>
      <c r="I54" s="518"/>
      <c r="J54" s="180"/>
      <c r="K54" s="515"/>
    </row>
    <row r="55" spans="1:11" s="139" customFormat="1" ht="21.75">
      <c r="A55" s="512"/>
      <c r="B55" s="513"/>
      <c r="C55" s="514"/>
      <c r="D55" s="515"/>
      <c r="E55" s="515"/>
      <c r="F55" s="515"/>
      <c r="G55" s="516"/>
      <c r="H55" s="517"/>
      <c r="I55" s="518"/>
      <c r="J55" s="180"/>
      <c r="K55" s="515"/>
    </row>
    <row r="56" spans="1:11" s="139" customFormat="1">
      <c r="A56" s="512"/>
      <c r="B56" s="513"/>
      <c r="C56" s="514"/>
      <c r="D56" s="515"/>
      <c r="E56" s="515"/>
      <c r="F56" s="515"/>
      <c r="G56" s="521"/>
      <c r="H56" s="517"/>
      <c r="I56" s="518"/>
      <c r="J56" s="180"/>
      <c r="K56" s="515"/>
    </row>
  </sheetData>
  <mergeCells count="10">
    <mergeCell ref="A1:K1"/>
    <mergeCell ref="A2:K2"/>
    <mergeCell ref="A3:K3"/>
    <mergeCell ref="E5:E6"/>
    <mergeCell ref="F5:F6"/>
    <mergeCell ref="G5:G6"/>
    <mergeCell ref="D5:D6"/>
    <mergeCell ref="C5:C6"/>
    <mergeCell ref="B5:B6"/>
    <mergeCell ref="A5:A6"/>
  </mergeCells>
  <phoneticPr fontId="8" type="noConversion"/>
  <printOptions horizontalCentered="1"/>
  <pageMargins left="0" right="0" top="0.59055118110236227" bottom="0" header="0.59055118110236227" footer="0.31496062992125984"/>
  <pageSetup paperSize="9" scale="85" orientation="landscape"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94"/>
  <sheetViews>
    <sheetView view="pageBreakPreview" zoomScale="106" zoomScaleNormal="100" zoomScaleSheetLayoutView="106" workbookViewId="0">
      <pane ySplit="6" topLeftCell="A7" activePane="bottomLeft" state="frozen"/>
      <selection pane="bottomLeft" activeCell="G178" sqref="G178"/>
    </sheetView>
  </sheetViews>
  <sheetFormatPr defaultColWidth="9" defaultRowHeight="21"/>
  <cols>
    <col min="1" max="1" width="4.28515625" style="75" customWidth="1"/>
    <col min="2" max="2" width="11.28515625" style="74" customWidth="1"/>
    <col min="3" max="3" width="7.140625" style="51" bestFit="1" customWidth="1"/>
    <col min="4" max="4" width="9.85546875" style="51" customWidth="1"/>
    <col min="5" max="5" width="35.28515625" style="51" customWidth="1"/>
    <col min="6" max="6" width="11.140625" style="87" customWidth="1"/>
    <col min="7" max="7" width="31.7109375" style="51" customWidth="1"/>
    <col min="8" max="8" width="8.5703125" style="87" bestFit="1" customWidth="1"/>
    <col min="9" max="9" width="6.7109375" style="75" customWidth="1"/>
    <col min="10" max="10" width="7.140625" style="51" customWidth="1"/>
    <col min="11" max="11" width="7.85546875" style="51" customWidth="1"/>
    <col min="12" max="12" width="8.5703125" style="51" customWidth="1"/>
    <col min="13" max="13" width="8.28515625" style="51" customWidth="1"/>
    <col min="14" max="14" width="38.28515625" style="73" bestFit="1" customWidth="1"/>
    <col min="15" max="15" width="24.85546875" style="50" customWidth="1"/>
    <col min="16" max="18" width="9" style="50"/>
    <col min="19" max="16384" width="9" style="51"/>
  </cols>
  <sheetData>
    <row r="1" spans="1:18">
      <c r="A1" s="533" t="s">
        <v>33</v>
      </c>
      <c r="B1" s="533"/>
      <c r="C1" s="533"/>
      <c r="D1" s="533"/>
      <c r="E1" s="533"/>
      <c r="F1" s="533"/>
      <c r="G1" s="533"/>
      <c r="H1" s="533"/>
      <c r="I1" s="533"/>
      <c r="J1" s="533"/>
      <c r="K1" s="533"/>
      <c r="L1" s="533"/>
      <c r="M1" s="533"/>
    </row>
    <row r="2" spans="1:18">
      <c r="A2" s="533" t="s">
        <v>23</v>
      </c>
      <c r="B2" s="533"/>
      <c r="C2" s="533"/>
      <c r="D2" s="533"/>
      <c r="E2" s="533"/>
      <c r="F2" s="533"/>
      <c r="G2" s="533"/>
      <c r="H2" s="533"/>
      <c r="I2" s="533"/>
      <c r="J2" s="533"/>
      <c r="K2" s="533"/>
      <c r="L2" s="533"/>
      <c r="M2" s="533"/>
    </row>
    <row r="3" spans="1:18">
      <c r="A3" s="533" t="s">
        <v>69</v>
      </c>
      <c r="B3" s="533"/>
      <c r="C3" s="533"/>
      <c r="D3" s="533"/>
      <c r="E3" s="533"/>
      <c r="F3" s="533"/>
      <c r="G3" s="533"/>
      <c r="H3" s="533"/>
      <c r="I3" s="533"/>
      <c r="J3" s="533"/>
      <c r="K3" s="533"/>
      <c r="L3" s="533"/>
      <c r="M3" s="533"/>
    </row>
    <row r="4" spans="1:18">
      <c r="A4" s="76"/>
      <c r="B4" s="53"/>
      <c r="C4" s="52"/>
      <c r="D4" s="52"/>
      <c r="E4" s="52"/>
      <c r="F4" s="91"/>
      <c r="G4" s="52"/>
      <c r="H4" s="91"/>
      <c r="I4" s="52"/>
      <c r="J4" s="52"/>
      <c r="K4" s="52"/>
      <c r="L4" s="52"/>
      <c r="M4" s="52"/>
    </row>
    <row r="5" spans="1:18" s="59" customFormat="1" ht="25.5" customHeight="1">
      <c r="A5" s="54" t="s">
        <v>0</v>
      </c>
      <c r="B5" s="55" t="s">
        <v>21</v>
      </c>
      <c r="C5" s="54" t="s">
        <v>36</v>
      </c>
      <c r="D5" s="54" t="s">
        <v>14</v>
      </c>
      <c r="E5" s="56" t="s">
        <v>2</v>
      </c>
      <c r="F5" s="92" t="s">
        <v>19</v>
      </c>
      <c r="G5" s="163" t="s">
        <v>17</v>
      </c>
      <c r="H5" s="92" t="s">
        <v>6</v>
      </c>
      <c r="I5" s="54" t="s">
        <v>8</v>
      </c>
      <c r="J5" s="54" t="s">
        <v>10</v>
      </c>
      <c r="K5" s="54" t="s">
        <v>11</v>
      </c>
      <c r="L5" s="536" t="s">
        <v>13</v>
      </c>
      <c r="M5" s="536" t="s">
        <v>39</v>
      </c>
      <c r="N5" s="77"/>
      <c r="O5" s="58"/>
      <c r="P5" s="58"/>
      <c r="Q5" s="58"/>
      <c r="R5" s="58"/>
    </row>
    <row r="6" spans="1:18" s="59" customFormat="1" ht="25.5" customHeight="1">
      <c r="A6" s="60" t="s">
        <v>1</v>
      </c>
      <c r="B6" s="61" t="s">
        <v>25</v>
      </c>
      <c r="C6" s="60" t="s">
        <v>4</v>
      </c>
      <c r="D6" s="60" t="s">
        <v>5</v>
      </c>
      <c r="E6" s="62"/>
      <c r="F6" s="93" t="s">
        <v>20</v>
      </c>
      <c r="G6" s="164" t="s">
        <v>18</v>
      </c>
      <c r="H6" s="93" t="s">
        <v>7</v>
      </c>
      <c r="I6" s="60" t="s">
        <v>9</v>
      </c>
      <c r="J6" s="60" t="s">
        <v>14</v>
      </c>
      <c r="K6" s="60" t="s">
        <v>12</v>
      </c>
      <c r="L6" s="537"/>
      <c r="M6" s="537"/>
      <c r="N6" s="77"/>
      <c r="O6" s="58"/>
      <c r="P6" s="58"/>
      <c r="Q6" s="58"/>
      <c r="R6" s="58"/>
    </row>
    <row r="7" spans="1:18" s="71" customFormat="1">
      <c r="A7" s="534" t="s">
        <v>162</v>
      </c>
      <c r="B7" s="535"/>
      <c r="C7" s="535"/>
      <c r="D7" s="535"/>
      <c r="E7" s="535"/>
      <c r="F7" s="247"/>
      <c r="G7" s="248"/>
      <c r="H7" s="247"/>
      <c r="I7" s="249"/>
      <c r="J7" s="248"/>
      <c r="K7" s="248"/>
      <c r="L7" s="248"/>
      <c r="M7" s="250"/>
      <c r="N7" s="73"/>
      <c r="O7" s="50"/>
      <c r="P7" s="50"/>
      <c r="Q7" s="50"/>
      <c r="R7" s="50"/>
    </row>
    <row r="8" spans="1:18" s="202" customFormat="1" ht="147">
      <c r="A8" s="192">
        <v>1</v>
      </c>
      <c r="B8" s="193" t="s">
        <v>144</v>
      </c>
      <c r="C8" s="194" t="s">
        <v>71</v>
      </c>
      <c r="D8" s="195">
        <v>44496</v>
      </c>
      <c r="E8" s="318" t="s">
        <v>591</v>
      </c>
      <c r="F8" s="196">
        <v>94999.3</v>
      </c>
      <c r="G8" s="197" t="s">
        <v>145</v>
      </c>
      <c r="H8" s="196">
        <f>F8</f>
        <v>94999.3</v>
      </c>
      <c r="I8" s="192" t="s">
        <v>34</v>
      </c>
      <c r="J8" s="198">
        <v>44498</v>
      </c>
      <c r="K8" s="199" t="s">
        <v>38</v>
      </c>
      <c r="L8" s="195" t="s">
        <v>505</v>
      </c>
      <c r="M8" s="251" t="s">
        <v>505</v>
      </c>
      <c r="N8" s="200" t="s">
        <v>165</v>
      </c>
      <c r="O8" s="201"/>
      <c r="P8" s="201"/>
      <c r="Q8" s="201"/>
      <c r="R8" s="201"/>
    </row>
    <row r="9" spans="1:18" s="124" customFormat="1">
      <c r="A9" s="171"/>
      <c r="B9" s="165"/>
      <c r="C9" s="166"/>
      <c r="D9" s="167"/>
      <c r="E9" s="168"/>
      <c r="F9" s="169"/>
      <c r="G9" s="170"/>
      <c r="H9" s="169"/>
      <c r="I9" s="171"/>
      <c r="J9" s="172"/>
      <c r="K9" s="173"/>
      <c r="L9" s="167"/>
      <c r="M9" s="171"/>
      <c r="N9" s="125"/>
      <c r="O9" s="126"/>
      <c r="P9" s="126"/>
      <c r="Q9" s="126"/>
      <c r="R9" s="126"/>
    </row>
    <row r="10" spans="1:18" s="124" customFormat="1">
      <c r="A10" s="126"/>
      <c r="B10" s="149"/>
      <c r="C10" s="151"/>
      <c r="D10" s="174"/>
      <c r="E10" s="118"/>
      <c r="F10" s="175"/>
      <c r="G10" s="134"/>
      <c r="H10" s="175"/>
      <c r="I10" s="126"/>
      <c r="J10" s="176"/>
      <c r="K10" s="177"/>
      <c r="L10" s="174"/>
      <c r="M10" s="126"/>
      <c r="N10" s="125"/>
      <c r="O10" s="126"/>
      <c r="P10" s="126"/>
      <c r="Q10" s="126"/>
      <c r="R10" s="126"/>
    </row>
    <row r="11" spans="1:18" s="124" customFormat="1">
      <c r="A11" s="126"/>
      <c r="B11" s="149"/>
      <c r="C11" s="151"/>
      <c r="D11" s="174"/>
      <c r="E11" s="118"/>
      <c r="F11" s="175"/>
      <c r="G11" s="134"/>
      <c r="H11" s="175"/>
      <c r="I11" s="126"/>
      <c r="J11" s="176"/>
      <c r="K11" s="177"/>
      <c r="L11" s="174"/>
      <c r="M11" s="126"/>
      <c r="N11" s="125"/>
      <c r="O11" s="126"/>
      <c r="P11" s="126"/>
      <c r="Q11" s="126"/>
      <c r="R11" s="126"/>
    </row>
    <row r="12" spans="1:18" s="124" customFormat="1">
      <c r="A12" s="126"/>
      <c r="B12" s="149"/>
      <c r="C12" s="151"/>
      <c r="D12" s="174"/>
      <c r="E12" s="118"/>
      <c r="F12" s="175"/>
      <c r="G12" s="134"/>
      <c r="H12" s="175"/>
      <c r="I12" s="126"/>
      <c r="J12" s="176"/>
      <c r="K12" s="177"/>
      <c r="L12" s="174"/>
      <c r="M12" s="126"/>
      <c r="N12" s="125"/>
      <c r="O12" s="126"/>
      <c r="P12" s="126"/>
      <c r="Q12" s="126"/>
      <c r="R12" s="126"/>
    </row>
    <row r="13" spans="1:18" s="124" customFormat="1">
      <c r="A13" s="126"/>
      <c r="B13" s="149"/>
      <c r="C13" s="151"/>
      <c r="D13" s="174"/>
      <c r="E13" s="118"/>
      <c r="F13" s="175"/>
      <c r="G13" s="134"/>
      <c r="H13" s="175"/>
      <c r="I13" s="126"/>
      <c r="J13" s="176"/>
      <c r="K13" s="177"/>
      <c r="L13" s="174"/>
      <c r="M13" s="126"/>
      <c r="N13" s="125"/>
      <c r="O13" s="126"/>
      <c r="P13" s="126"/>
      <c r="Q13" s="126"/>
      <c r="R13" s="126"/>
    </row>
    <row r="14" spans="1:18" s="124" customFormat="1">
      <c r="A14" s="126"/>
      <c r="B14" s="149"/>
      <c r="C14" s="151"/>
      <c r="D14" s="174"/>
      <c r="E14" s="118"/>
      <c r="F14" s="175"/>
      <c r="G14" s="134"/>
      <c r="H14" s="175"/>
      <c r="I14" s="126"/>
      <c r="J14" s="176"/>
      <c r="K14" s="177"/>
      <c r="L14" s="174"/>
      <c r="M14" s="126"/>
      <c r="N14" s="125"/>
      <c r="O14" s="126"/>
      <c r="P14" s="126"/>
      <c r="Q14" s="126"/>
      <c r="R14" s="126"/>
    </row>
    <row r="15" spans="1:18" s="124" customFormat="1">
      <c r="A15" s="126"/>
      <c r="B15" s="149"/>
      <c r="C15" s="151"/>
      <c r="D15" s="174"/>
      <c r="E15" s="118"/>
      <c r="F15" s="175"/>
      <c r="G15" s="134"/>
      <c r="H15" s="175"/>
      <c r="I15" s="126"/>
      <c r="J15" s="176"/>
      <c r="K15" s="177"/>
      <c r="L15" s="174"/>
      <c r="M15" s="126"/>
      <c r="N15" s="125"/>
      <c r="O15" s="126"/>
      <c r="P15" s="126"/>
      <c r="Q15" s="126"/>
      <c r="R15" s="126"/>
    </row>
    <row r="16" spans="1:18" s="124" customFormat="1">
      <c r="A16" s="126"/>
      <c r="B16" s="149"/>
      <c r="C16" s="151"/>
      <c r="D16" s="174"/>
      <c r="E16" s="118"/>
      <c r="F16" s="175"/>
      <c r="G16" s="134"/>
      <c r="H16" s="175"/>
      <c r="I16" s="126"/>
      <c r="J16" s="176"/>
      <c r="K16" s="177"/>
      <c r="L16" s="174"/>
      <c r="M16" s="126"/>
      <c r="N16" s="125"/>
      <c r="O16" s="126"/>
      <c r="P16" s="126"/>
      <c r="Q16" s="126"/>
      <c r="R16" s="126"/>
    </row>
    <row r="17" spans="1:18" s="124" customFormat="1">
      <c r="A17" s="126"/>
      <c r="B17" s="149"/>
      <c r="C17" s="151"/>
      <c r="D17" s="174"/>
      <c r="E17" s="118"/>
      <c r="F17" s="175"/>
      <c r="G17" s="134"/>
      <c r="H17" s="175"/>
      <c r="I17" s="126"/>
      <c r="J17" s="176"/>
      <c r="K17" s="177"/>
      <c r="L17" s="174"/>
      <c r="M17" s="126"/>
      <c r="N17" s="125"/>
      <c r="O17" s="126"/>
      <c r="P17" s="126"/>
      <c r="Q17" s="126"/>
      <c r="R17" s="126"/>
    </row>
    <row r="18" spans="1:18" s="124" customFormat="1">
      <c r="A18" s="126"/>
      <c r="B18" s="149"/>
      <c r="C18" s="151"/>
      <c r="D18" s="174"/>
      <c r="E18" s="118"/>
      <c r="F18" s="175"/>
      <c r="G18" s="134"/>
      <c r="H18" s="175"/>
      <c r="I18" s="126"/>
      <c r="J18" s="176"/>
      <c r="K18" s="177"/>
      <c r="L18" s="174"/>
      <c r="M18" s="126"/>
      <c r="N18" s="125"/>
      <c r="O18" s="126"/>
      <c r="P18" s="126"/>
      <c r="Q18" s="126"/>
      <c r="R18" s="126"/>
    </row>
    <row r="19" spans="1:18" s="124" customFormat="1">
      <c r="A19" s="126"/>
      <c r="B19" s="149"/>
      <c r="C19" s="151"/>
      <c r="D19" s="174"/>
      <c r="E19" s="118"/>
      <c r="F19" s="175"/>
      <c r="G19" s="134"/>
      <c r="H19" s="175"/>
      <c r="I19" s="126"/>
      <c r="J19" s="176"/>
      <c r="K19" s="177"/>
      <c r="L19" s="174"/>
      <c r="M19" s="126"/>
      <c r="N19" s="125"/>
      <c r="O19" s="126"/>
      <c r="P19" s="126"/>
      <c r="Q19" s="126"/>
      <c r="R19" s="126"/>
    </row>
    <row r="20" spans="1:18" s="124" customFormat="1">
      <c r="A20" s="126"/>
      <c r="B20" s="149"/>
      <c r="C20" s="151"/>
      <c r="D20" s="174"/>
      <c r="E20" s="118"/>
      <c r="F20" s="175"/>
      <c r="G20" s="134"/>
      <c r="H20" s="175"/>
      <c r="I20" s="126"/>
      <c r="J20" s="176"/>
      <c r="K20" s="177"/>
      <c r="L20" s="174"/>
      <c r="M20" s="126"/>
      <c r="N20" s="125"/>
      <c r="O20" s="126"/>
      <c r="P20" s="126"/>
      <c r="Q20" s="126"/>
      <c r="R20" s="126"/>
    </row>
    <row r="21" spans="1:18" s="71" customFormat="1">
      <c r="A21" s="527" t="s">
        <v>367</v>
      </c>
      <c r="B21" s="528"/>
      <c r="C21" s="528"/>
      <c r="D21" s="528"/>
      <c r="E21" s="528"/>
      <c r="F21" s="238"/>
      <c r="G21" s="239"/>
      <c r="H21" s="238"/>
      <c r="I21" s="240"/>
      <c r="J21" s="239"/>
      <c r="K21" s="239"/>
      <c r="L21" s="239"/>
      <c r="M21" s="241"/>
      <c r="N21" s="73"/>
      <c r="O21" s="50"/>
      <c r="P21" s="50"/>
      <c r="Q21" s="50"/>
      <c r="R21" s="50"/>
    </row>
    <row r="22" spans="1:18" s="124" customFormat="1" ht="147">
      <c r="A22" s="109">
        <v>1</v>
      </c>
      <c r="B22" s="121" t="s">
        <v>161</v>
      </c>
      <c r="C22" s="107" t="s">
        <v>108</v>
      </c>
      <c r="D22" s="110">
        <v>44502</v>
      </c>
      <c r="E22" s="108" t="s">
        <v>166</v>
      </c>
      <c r="F22" s="123">
        <v>20000</v>
      </c>
      <c r="G22" s="127" t="s">
        <v>374</v>
      </c>
      <c r="H22" s="123">
        <f t="shared" ref="H22:H27" si="0">F22</f>
        <v>20000</v>
      </c>
      <c r="I22" s="109" t="s">
        <v>34</v>
      </c>
      <c r="J22" s="128">
        <v>44509</v>
      </c>
      <c r="K22" s="122" t="s">
        <v>38</v>
      </c>
      <c r="L22" s="319">
        <v>44509</v>
      </c>
      <c r="M22" s="319">
        <v>44509</v>
      </c>
      <c r="N22" s="125" t="s">
        <v>43</v>
      </c>
      <c r="O22" s="126"/>
      <c r="P22" s="126"/>
      <c r="Q22" s="126"/>
      <c r="R22" s="126"/>
    </row>
    <row r="23" spans="1:18" s="124" customFormat="1" ht="147">
      <c r="A23" s="109">
        <v>2</v>
      </c>
      <c r="B23" s="121" t="s">
        <v>167</v>
      </c>
      <c r="C23" s="107" t="s">
        <v>109</v>
      </c>
      <c r="D23" s="110">
        <v>44503</v>
      </c>
      <c r="E23" s="108" t="s">
        <v>169</v>
      </c>
      <c r="F23" s="123">
        <f>10000+7500+22000</f>
        <v>39500</v>
      </c>
      <c r="G23" s="127" t="s">
        <v>345</v>
      </c>
      <c r="H23" s="123">
        <f t="shared" si="0"/>
        <v>39500</v>
      </c>
      <c r="I23" s="109" t="s">
        <v>34</v>
      </c>
      <c r="J23" s="128">
        <v>44510</v>
      </c>
      <c r="K23" s="122" t="s">
        <v>37</v>
      </c>
      <c r="L23" s="319">
        <v>44509</v>
      </c>
      <c r="M23" s="319">
        <v>44509</v>
      </c>
      <c r="N23" s="134" t="s">
        <v>168</v>
      </c>
      <c r="O23" s="126" t="s">
        <v>43</v>
      </c>
      <c r="P23" s="126"/>
      <c r="Q23" s="126"/>
      <c r="R23" s="126"/>
    </row>
    <row r="24" spans="1:18" s="124" customFormat="1" ht="147">
      <c r="A24" s="109">
        <v>3</v>
      </c>
      <c r="B24" s="121" t="s">
        <v>340</v>
      </c>
      <c r="C24" s="107" t="s">
        <v>110</v>
      </c>
      <c r="D24" s="110">
        <v>44523</v>
      </c>
      <c r="E24" s="108" t="s">
        <v>653</v>
      </c>
      <c r="F24" s="123">
        <f>1289*114*7.82</f>
        <v>1149117.72</v>
      </c>
      <c r="G24" s="356" t="s">
        <v>145</v>
      </c>
      <c r="H24" s="123">
        <f t="shared" si="0"/>
        <v>1149117.72</v>
      </c>
      <c r="I24" s="109" t="s">
        <v>34</v>
      </c>
      <c r="J24" s="128">
        <v>44286</v>
      </c>
      <c r="K24" s="122" t="s">
        <v>38</v>
      </c>
      <c r="L24" s="128" t="s">
        <v>368</v>
      </c>
      <c r="M24" s="128" t="s">
        <v>369</v>
      </c>
      <c r="N24" s="242" t="s">
        <v>341</v>
      </c>
      <c r="O24" s="126" t="s">
        <v>43</v>
      </c>
      <c r="P24" s="126"/>
      <c r="Q24" s="126"/>
      <c r="R24" s="126"/>
    </row>
    <row r="25" spans="1:18" s="124" customFormat="1" ht="168">
      <c r="A25" s="218">
        <v>4</v>
      </c>
      <c r="B25" s="219" t="s">
        <v>161</v>
      </c>
      <c r="C25" s="220" t="s">
        <v>111</v>
      </c>
      <c r="D25" s="221">
        <v>44524</v>
      </c>
      <c r="E25" s="222" t="s">
        <v>592</v>
      </c>
      <c r="F25" s="223">
        <f>27500+26000+10000</f>
        <v>63500</v>
      </c>
      <c r="G25" s="224" t="s">
        <v>342</v>
      </c>
      <c r="H25" s="223">
        <f t="shared" si="0"/>
        <v>63500</v>
      </c>
      <c r="I25" s="218" t="s">
        <v>34</v>
      </c>
      <c r="J25" s="226">
        <v>44531</v>
      </c>
      <c r="K25" s="255" t="s">
        <v>37</v>
      </c>
      <c r="L25" s="355">
        <v>44526</v>
      </c>
      <c r="M25" s="355">
        <v>44526</v>
      </c>
      <c r="N25" s="242"/>
      <c r="O25" s="126"/>
      <c r="P25" s="126"/>
      <c r="Q25" s="126"/>
      <c r="R25" s="126"/>
    </row>
    <row r="26" spans="1:18" s="124" customFormat="1" ht="147">
      <c r="A26" s="109">
        <v>5</v>
      </c>
      <c r="B26" s="121" t="s">
        <v>161</v>
      </c>
      <c r="C26" s="107" t="s">
        <v>112</v>
      </c>
      <c r="D26" s="110">
        <v>44524</v>
      </c>
      <c r="E26" s="108" t="s">
        <v>354</v>
      </c>
      <c r="F26" s="123">
        <v>48675</v>
      </c>
      <c r="G26" s="127" t="s">
        <v>343</v>
      </c>
      <c r="H26" s="123">
        <f t="shared" si="0"/>
        <v>48675</v>
      </c>
      <c r="I26" s="109" t="s">
        <v>34</v>
      </c>
      <c r="J26" s="128">
        <v>44531</v>
      </c>
      <c r="K26" s="122" t="s">
        <v>26</v>
      </c>
      <c r="L26" s="319">
        <v>44526</v>
      </c>
      <c r="M26" s="319">
        <v>44526</v>
      </c>
      <c r="N26" s="242"/>
      <c r="O26" s="126"/>
      <c r="P26" s="126"/>
      <c r="Q26" s="126"/>
      <c r="R26" s="126"/>
    </row>
    <row r="27" spans="1:18" s="124" customFormat="1" ht="147">
      <c r="A27" s="109">
        <v>6</v>
      </c>
      <c r="B27" s="121" t="s">
        <v>353</v>
      </c>
      <c r="C27" s="107" t="s">
        <v>113</v>
      </c>
      <c r="D27" s="110">
        <v>44526</v>
      </c>
      <c r="E27" s="108" t="s">
        <v>355</v>
      </c>
      <c r="F27" s="123">
        <f>12*550</f>
        <v>6600</v>
      </c>
      <c r="G27" s="127" t="s">
        <v>370</v>
      </c>
      <c r="H27" s="123">
        <f t="shared" si="0"/>
        <v>6600</v>
      </c>
      <c r="I27" s="109" t="s">
        <v>34</v>
      </c>
      <c r="J27" s="128">
        <v>44531</v>
      </c>
      <c r="K27" s="178" t="s">
        <v>61</v>
      </c>
      <c r="L27" s="319">
        <v>44530</v>
      </c>
      <c r="M27" s="319">
        <v>44530</v>
      </c>
      <c r="N27" s="242"/>
      <c r="O27" s="126"/>
      <c r="P27" s="126"/>
      <c r="Q27" s="126"/>
      <c r="R27" s="126"/>
    </row>
    <row r="28" spans="1:18" s="124" customFormat="1" ht="126">
      <c r="A28" s="109">
        <v>7</v>
      </c>
      <c r="B28" s="121" t="s">
        <v>353</v>
      </c>
      <c r="C28" s="107" t="s">
        <v>114</v>
      </c>
      <c r="D28" s="110">
        <v>44529</v>
      </c>
      <c r="E28" s="108" t="s">
        <v>356</v>
      </c>
      <c r="F28" s="123">
        <v>170000</v>
      </c>
      <c r="G28" s="140" t="s">
        <v>357</v>
      </c>
      <c r="H28" s="123">
        <v>160000</v>
      </c>
      <c r="I28" s="141" t="s">
        <v>344</v>
      </c>
      <c r="J28" s="128">
        <v>44552</v>
      </c>
      <c r="K28" s="178" t="s">
        <v>38</v>
      </c>
      <c r="L28" s="319">
        <v>44552</v>
      </c>
      <c r="M28" s="319">
        <v>44554</v>
      </c>
      <c r="N28" s="242"/>
      <c r="O28" s="126"/>
      <c r="P28" s="126"/>
      <c r="Q28" s="126"/>
      <c r="R28" s="126"/>
    </row>
    <row r="29" spans="1:18" s="124" customFormat="1" ht="168">
      <c r="A29" s="158">
        <v>8</v>
      </c>
      <c r="B29" s="154" t="s">
        <v>353</v>
      </c>
      <c r="C29" s="156" t="s">
        <v>116</v>
      </c>
      <c r="D29" s="243">
        <v>44529</v>
      </c>
      <c r="E29" s="157" t="s">
        <v>360</v>
      </c>
      <c r="F29" s="244">
        <v>14300</v>
      </c>
      <c r="G29" s="203" t="s">
        <v>371</v>
      </c>
      <c r="H29" s="244">
        <f>F29</f>
        <v>14300</v>
      </c>
      <c r="I29" s="204" t="s">
        <v>361</v>
      </c>
      <c r="J29" s="245">
        <v>44537</v>
      </c>
      <c r="K29" s="246" t="s">
        <v>61</v>
      </c>
      <c r="L29" s="319">
        <v>44537</v>
      </c>
      <c r="M29" s="319">
        <v>44538</v>
      </c>
      <c r="N29" s="242"/>
      <c r="O29" s="126"/>
      <c r="P29" s="126"/>
      <c r="Q29" s="126"/>
      <c r="R29" s="126"/>
    </row>
    <row r="30" spans="1:18" s="124" customFormat="1">
      <c r="A30" s="126"/>
      <c r="B30" s="149"/>
      <c r="C30" s="151"/>
      <c r="D30" s="174"/>
      <c r="E30" s="120"/>
      <c r="F30" s="175"/>
      <c r="G30" s="179"/>
      <c r="H30" s="175"/>
      <c r="I30" s="180"/>
      <c r="J30" s="176"/>
      <c r="K30" s="206"/>
      <c r="L30" s="174"/>
      <c r="M30" s="126"/>
      <c r="N30" s="205"/>
      <c r="O30" s="126"/>
      <c r="P30" s="126"/>
      <c r="Q30" s="126"/>
      <c r="R30" s="126"/>
    </row>
    <row r="31" spans="1:18" s="124" customFormat="1">
      <c r="A31" s="126"/>
      <c r="B31" s="149"/>
      <c r="C31" s="151"/>
      <c r="D31" s="174"/>
      <c r="E31" s="120"/>
      <c r="F31" s="175"/>
      <c r="G31" s="179"/>
      <c r="H31" s="175"/>
      <c r="I31" s="180"/>
      <c r="J31" s="176"/>
      <c r="K31" s="206"/>
      <c r="L31" s="174"/>
      <c r="M31" s="126"/>
      <c r="N31" s="120"/>
      <c r="O31" s="126"/>
      <c r="P31" s="126"/>
      <c r="Q31" s="126"/>
      <c r="R31" s="126"/>
    </row>
    <row r="32" spans="1:18" s="124" customFormat="1">
      <c r="A32" s="126"/>
      <c r="B32" s="149"/>
      <c r="C32" s="151"/>
      <c r="D32" s="174"/>
      <c r="E32" s="120"/>
      <c r="F32" s="175"/>
      <c r="G32" s="179"/>
      <c r="H32" s="175"/>
      <c r="I32" s="180"/>
      <c r="J32" s="176"/>
      <c r="K32" s="206"/>
      <c r="L32" s="174"/>
      <c r="M32" s="126"/>
      <c r="N32" s="120"/>
      <c r="O32" s="126"/>
      <c r="P32" s="126"/>
      <c r="Q32" s="126"/>
      <c r="R32" s="126"/>
    </row>
    <row r="33" spans="1:18" s="124" customFormat="1">
      <c r="A33" s="126"/>
      <c r="B33" s="149"/>
      <c r="C33" s="151"/>
      <c r="D33" s="174"/>
      <c r="E33" s="120"/>
      <c r="F33" s="175"/>
      <c r="G33" s="179"/>
      <c r="H33" s="175"/>
      <c r="I33" s="180"/>
      <c r="J33" s="176"/>
      <c r="K33" s="206"/>
      <c r="L33" s="174"/>
      <c r="M33" s="126"/>
      <c r="N33" s="120"/>
      <c r="O33" s="126"/>
      <c r="P33" s="126"/>
      <c r="Q33" s="126"/>
      <c r="R33" s="126"/>
    </row>
    <row r="34" spans="1:18" s="124" customFormat="1">
      <c r="A34" s="126"/>
      <c r="B34" s="149"/>
      <c r="C34" s="151"/>
      <c r="D34" s="174"/>
      <c r="E34" s="120"/>
      <c r="F34" s="175"/>
      <c r="G34" s="179"/>
      <c r="H34" s="175"/>
      <c r="I34" s="180"/>
      <c r="J34" s="176"/>
      <c r="K34" s="206"/>
      <c r="L34" s="174"/>
      <c r="M34" s="126"/>
      <c r="N34" s="120"/>
      <c r="O34" s="126"/>
      <c r="P34" s="126"/>
      <c r="Q34" s="126"/>
      <c r="R34" s="126"/>
    </row>
    <row r="35" spans="1:18" s="124" customFormat="1">
      <c r="A35" s="126"/>
      <c r="B35" s="149"/>
      <c r="C35" s="151"/>
      <c r="D35" s="174"/>
      <c r="E35" s="120"/>
      <c r="F35" s="175"/>
      <c r="G35" s="179"/>
      <c r="H35" s="175"/>
      <c r="I35" s="180"/>
      <c r="J35" s="176"/>
      <c r="K35" s="206"/>
      <c r="L35" s="174"/>
      <c r="M35" s="126"/>
      <c r="N35" s="120"/>
      <c r="O35" s="126"/>
      <c r="P35" s="126"/>
      <c r="Q35" s="126"/>
      <c r="R35" s="126"/>
    </row>
    <row r="36" spans="1:18" s="124" customFormat="1">
      <c r="A36" s="126"/>
      <c r="B36" s="149"/>
      <c r="C36" s="151"/>
      <c r="D36" s="174"/>
      <c r="E36" s="120"/>
      <c r="F36" s="175"/>
      <c r="G36" s="179"/>
      <c r="H36" s="175"/>
      <c r="I36" s="180"/>
      <c r="J36" s="176"/>
      <c r="K36" s="206"/>
      <c r="L36" s="174"/>
      <c r="M36" s="126"/>
      <c r="N36" s="120"/>
      <c r="O36" s="126"/>
      <c r="P36" s="126"/>
      <c r="Q36" s="126"/>
      <c r="R36" s="126"/>
    </row>
    <row r="37" spans="1:18" s="124" customFormat="1">
      <c r="A37" s="126"/>
      <c r="B37" s="149"/>
      <c r="C37" s="151"/>
      <c r="D37" s="174"/>
      <c r="E37" s="120"/>
      <c r="F37" s="175"/>
      <c r="G37" s="179"/>
      <c r="H37" s="175"/>
      <c r="I37" s="180"/>
      <c r="J37" s="176"/>
      <c r="K37" s="206"/>
      <c r="L37" s="174"/>
      <c r="M37" s="126"/>
      <c r="N37" s="120"/>
      <c r="O37" s="126"/>
      <c r="P37" s="126"/>
      <c r="Q37" s="126"/>
      <c r="R37" s="126"/>
    </row>
    <row r="38" spans="1:18" s="124" customFormat="1">
      <c r="A38" s="126"/>
      <c r="B38" s="149"/>
      <c r="C38" s="151"/>
      <c r="D38" s="174"/>
      <c r="E38" s="120"/>
      <c r="F38" s="175"/>
      <c r="G38" s="179"/>
      <c r="H38" s="175"/>
      <c r="I38" s="180"/>
      <c r="J38" s="176"/>
      <c r="K38" s="206"/>
      <c r="L38" s="174"/>
      <c r="M38" s="126"/>
      <c r="N38" s="120"/>
      <c r="O38" s="126"/>
      <c r="P38" s="126"/>
      <c r="Q38" s="126"/>
      <c r="R38" s="126"/>
    </row>
    <row r="39" spans="1:18" s="124" customFormat="1">
      <c r="A39" s="126"/>
      <c r="B39" s="149"/>
      <c r="C39" s="151"/>
      <c r="D39" s="174"/>
      <c r="E39" s="120"/>
      <c r="F39" s="175"/>
      <c r="G39" s="179"/>
      <c r="H39" s="175"/>
      <c r="I39" s="180"/>
      <c r="J39" s="176"/>
      <c r="K39" s="206"/>
      <c r="L39" s="174"/>
      <c r="M39" s="126"/>
      <c r="N39" s="120"/>
      <c r="O39" s="126"/>
      <c r="P39" s="126"/>
      <c r="Q39" s="126"/>
      <c r="R39" s="126"/>
    </row>
    <row r="40" spans="1:18" s="124" customFormat="1">
      <c r="A40" s="126"/>
      <c r="B40" s="149"/>
      <c r="C40" s="151"/>
      <c r="D40" s="174"/>
      <c r="E40" s="120"/>
      <c r="F40" s="175"/>
      <c r="G40" s="179"/>
      <c r="H40" s="175"/>
      <c r="I40" s="180"/>
      <c r="J40" s="176"/>
      <c r="K40" s="206"/>
      <c r="L40" s="174"/>
      <c r="M40" s="126"/>
      <c r="N40" s="120"/>
      <c r="O40" s="126"/>
      <c r="P40" s="126"/>
      <c r="Q40" s="126"/>
      <c r="R40" s="126"/>
    </row>
    <row r="41" spans="1:18" s="124" customFormat="1">
      <c r="A41" s="126"/>
      <c r="B41" s="149"/>
      <c r="C41" s="151"/>
      <c r="D41" s="174"/>
      <c r="E41" s="120"/>
      <c r="F41" s="175"/>
      <c r="G41" s="179"/>
      <c r="H41" s="175"/>
      <c r="I41" s="180"/>
      <c r="J41" s="176"/>
      <c r="K41" s="206"/>
      <c r="L41" s="174"/>
      <c r="M41" s="126"/>
      <c r="N41" s="120"/>
      <c r="O41" s="126"/>
      <c r="P41" s="126"/>
      <c r="Q41" s="126"/>
      <c r="R41" s="126"/>
    </row>
    <row r="42" spans="1:18" s="71" customFormat="1">
      <c r="A42" s="527" t="s">
        <v>382</v>
      </c>
      <c r="B42" s="528"/>
      <c r="C42" s="528"/>
      <c r="D42" s="528"/>
      <c r="E42" s="528"/>
      <c r="F42" s="238"/>
      <c r="G42" s="239"/>
      <c r="H42" s="238"/>
      <c r="I42" s="240"/>
      <c r="J42" s="239"/>
      <c r="K42" s="239"/>
      <c r="L42" s="239"/>
      <c r="M42" s="241"/>
      <c r="N42" s="73"/>
      <c r="O42" s="50"/>
      <c r="P42" s="50"/>
      <c r="Q42" s="50"/>
      <c r="R42" s="50"/>
    </row>
    <row r="43" spans="1:18" s="124" customFormat="1" ht="147">
      <c r="A43" s="208">
        <v>1</v>
      </c>
      <c r="B43" s="209" t="s">
        <v>372</v>
      </c>
      <c r="C43" s="210" t="s">
        <v>117</v>
      </c>
      <c r="D43" s="211">
        <v>44551</v>
      </c>
      <c r="E43" s="212" t="s">
        <v>373</v>
      </c>
      <c r="F43" s="213">
        <v>10000</v>
      </c>
      <c r="G43" s="214" t="s">
        <v>503</v>
      </c>
      <c r="H43" s="213">
        <f>F43</f>
        <v>10000</v>
      </c>
      <c r="I43" s="215" t="s">
        <v>361</v>
      </c>
      <c r="J43" s="216">
        <v>44558</v>
      </c>
      <c r="K43" s="217" t="s">
        <v>61</v>
      </c>
      <c r="L43" s="216">
        <v>44558</v>
      </c>
      <c r="M43" s="216">
        <v>44559</v>
      </c>
      <c r="N43" s="120"/>
      <c r="O43" s="126"/>
      <c r="P43" s="126"/>
      <c r="Q43" s="126"/>
      <c r="R43" s="126"/>
    </row>
    <row r="44" spans="1:18" s="124" customFormat="1" ht="189">
      <c r="A44" s="229">
        <v>2</v>
      </c>
      <c r="B44" s="230" t="s">
        <v>375</v>
      </c>
      <c r="C44" s="231" t="s">
        <v>118</v>
      </c>
      <c r="D44" s="232">
        <v>44557</v>
      </c>
      <c r="E44" s="233" t="s">
        <v>376</v>
      </c>
      <c r="F44" s="234">
        <v>30587</v>
      </c>
      <c r="G44" s="235" t="s">
        <v>377</v>
      </c>
      <c r="H44" s="234">
        <f>F44</f>
        <v>30587</v>
      </c>
      <c r="I44" s="236" t="s">
        <v>361</v>
      </c>
      <c r="J44" s="237">
        <v>44566</v>
      </c>
      <c r="K44" s="256" t="s">
        <v>37</v>
      </c>
      <c r="L44" s="237">
        <v>44566</v>
      </c>
      <c r="M44" s="237">
        <v>44566</v>
      </c>
      <c r="N44" s="120"/>
      <c r="O44" s="126"/>
      <c r="P44" s="126"/>
      <c r="Q44" s="126"/>
      <c r="R44" s="126"/>
    </row>
    <row r="45" spans="1:18" s="124" customFormat="1">
      <c r="A45" s="227"/>
      <c r="B45" s="149"/>
      <c r="C45" s="151"/>
      <c r="D45" s="174"/>
      <c r="E45" s="120"/>
      <c r="F45" s="175"/>
      <c r="G45" s="134"/>
      <c r="H45" s="175"/>
      <c r="I45" s="180"/>
      <c r="J45" s="176"/>
      <c r="K45" s="206"/>
      <c r="L45" s="174"/>
      <c r="M45" s="126"/>
      <c r="N45" s="120"/>
      <c r="O45" s="126"/>
      <c r="P45" s="126"/>
      <c r="Q45" s="126"/>
      <c r="R45" s="126"/>
    </row>
    <row r="46" spans="1:18" s="124" customFormat="1">
      <c r="A46" s="227"/>
      <c r="B46" s="149"/>
      <c r="C46" s="151"/>
      <c r="D46" s="174"/>
      <c r="E46" s="120"/>
      <c r="F46" s="175"/>
      <c r="G46" s="134"/>
      <c r="H46" s="175"/>
      <c r="I46" s="180"/>
      <c r="J46" s="176"/>
      <c r="K46" s="206"/>
      <c r="L46" s="174"/>
      <c r="M46" s="126"/>
      <c r="N46" s="120"/>
      <c r="O46" s="126"/>
      <c r="P46" s="126"/>
      <c r="Q46" s="126"/>
      <c r="R46" s="126"/>
    </row>
    <row r="47" spans="1:18" s="124" customFormat="1">
      <c r="A47" s="227"/>
      <c r="B47" s="149"/>
      <c r="C47" s="151"/>
      <c r="D47" s="174"/>
      <c r="E47" s="120"/>
      <c r="F47" s="175"/>
      <c r="G47" s="134"/>
      <c r="H47" s="175"/>
      <c r="I47" s="180"/>
      <c r="J47" s="176"/>
      <c r="K47" s="206"/>
      <c r="L47" s="174"/>
      <c r="M47" s="126"/>
      <c r="N47" s="120"/>
      <c r="O47" s="126"/>
      <c r="P47" s="126"/>
      <c r="Q47" s="126"/>
      <c r="R47" s="126"/>
    </row>
    <row r="48" spans="1:18" s="124" customFormat="1">
      <c r="A48" s="227"/>
      <c r="B48" s="149"/>
      <c r="C48" s="151"/>
      <c r="D48" s="174"/>
      <c r="E48" s="120"/>
      <c r="F48" s="175"/>
      <c r="G48" s="134"/>
      <c r="H48" s="175"/>
      <c r="I48" s="180"/>
      <c r="J48" s="176"/>
      <c r="K48" s="206"/>
      <c r="L48" s="174"/>
      <c r="M48" s="126"/>
      <c r="N48" s="120"/>
      <c r="O48" s="126"/>
      <c r="P48" s="126"/>
      <c r="Q48" s="126"/>
      <c r="R48" s="126"/>
    </row>
    <row r="49" spans="1:18" s="124" customFormat="1">
      <c r="A49" s="227"/>
      <c r="B49" s="149"/>
      <c r="C49" s="151"/>
      <c r="D49" s="174"/>
      <c r="E49" s="120"/>
      <c r="F49" s="175"/>
      <c r="G49" s="134"/>
      <c r="H49" s="175"/>
      <c r="I49" s="180"/>
      <c r="J49" s="176"/>
      <c r="K49" s="206"/>
      <c r="L49" s="174"/>
      <c r="M49" s="126"/>
      <c r="N49" s="120"/>
      <c r="O49" s="126"/>
      <c r="P49" s="126"/>
      <c r="Q49" s="126"/>
      <c r="R49" s="126"/>
    </row>
    <row r="50" spans="1:18" s="124" customFormat="1">
      <c r="A50" s="227"/>
      <c r="B50" s="149"/>
      <c r="C50" s="151"/>
      <c r="D50" s="174"/>
      <c r="E50" s="120"/>
      <c r="F50" s="175"/>
      <c r="G50" s="134"/>
      <c r="H50" s="175"/>
      <c r="I50" s="180"/>
      <c r="J50" s="176"/>
      <c r="K50" s="206"/>
      <c r="L50" s="174"/>
      <c r="M50" s="126"/>
      <c r="N50" s="120"/>
      <c r="O50" s="126"/>
      <c r="P50" s="126"/>
      <c r="Q50" s="126"/>
      <c r="R50" s="126"/>
    </row>
    <row r="51" spans="1:18" s="124" customFormat="1">
      <c r="A51" s="227"/>
      <c r="B51" s="149"/>
      <c r="C51" s="151"/>
      <c r="D51" s="174"/>
      <c r="E51" s="120"/>
      <c r="F51" s="175"/>
      <c r="G51" s="134"/>
      <c r="H51" s="175"/>
      <c r="I51" s="180"/>
      <c r="J51" s="176"/>
      <c r="K51" s="206"/>
      <c r="L51" s="174"/>
      <c r="M51" s="126"/>
      <c r="N51" s="120"/>
      <c r="O51" s="126"/>
      <c r="P51" s="126"/>
      <c r="Q51" s="126"/>
      <c r="R51" s="126"/>
    </row>
    <row r="52" spans="1:18" s="124" customFormat="1">
      <c r="A52" s="227"/>
      <c r="B52" s="149"/>
      <c r="C52" s="151"/>
      <c r="D52" s="174"/>
      <c r="E52" s="120"/>
      <c r="F52" s="175"/>
      <c r="G52" s="134"/>
      <c r="H52" s="175"/>
      <c r="I52" s="180"/>
      <c r="J52" s="176"/>
      <c r="K52" s="206"/>
      <c r="L52" s="174"/>
      <c r="M52" s="126"/>
      <c r="N52" s="120"/>
      <c r="O52" s="126"/>
      <c r="P52" s="126"/>
      <c r="Q52" s="126"/>
      <c r="R52" s="126"/>
    </row>
    <row r="53" spans="1:18" s="124" customFormat="1">
      <c r="A53" s="227"/>
      <c r="B53" s="149"/>
      <c r="C53" s="151"/>
      <c r="D53" s="174"/>
      <c r="E53" s="120"/>
      <c r="F53" s="175"/>
      <c r="G53" s="134"/>
      <c r="H53" s="175"/>
      <c r="I53" s="180"/>
      <c r="J53" s="176"/>
      <c r="K53" s="206"/>
      <c r="L53" s="174"/>
      <c r="M53" s="126"/>
      <c r="N53" s="120"/>
      <c r="O53" s="126"/>
      <c r="P53" s="126"/>
      <c r="Q53" s="126"/>
      <c r="R53" s="126"/>
    </row>
    <row r="54" spans="1:18" s="71" customFormat="1">
      <c r="A54" s="527" t="s">
        <v>576</v>
      </c>
      <c r="B54" s="528"/>
      <c r="C54" s="528"/>
      <c r="D54" s="528"/>
      <c r="E54" s="528"/>
      <c r="F54" s="84"/>
      <c r="H54" s="84"/>
      <c r="I54" s="72"/>
      <c r="N54" s="73"/>
      <c r="O54" s="50"/>
      <c r="P54" s="50"/>
      <c r="Q54" s="50"/>
      <c r="R54" s="50"/>
    </row>
    <row r="55" spans="1:18" s="124" customFormat="1" ht="147">
      <c r="A55" s="218">
        <v>1</v>
      </c>
      <c r="B55" s="219" t="s">
        <v>526</v>
      </c>
      <c r="C55" s="220" t="s">
        <v>119</v>
      </c>
      <c r="D55" s="221">
        <v>44574</v>
      </c>
      <c r="E55" s="222" t="s">
        <v>527</v>
      </c>
      <c r="F55" s="223">
        <v>22000</v>
      </c>
      <c r="G55" s="224" t="s">
        <v>528</v>
      </c>
      <c r="H55" s="223">
        <f>F55</f>
        <v>22000</v>
      </c>
      <c r="I55" s="225" t="s">
        <v>361</v>
      </c>
      <c r="J55" s="226">
        <v>44573</v>
      </c>
      <c r="K55" s="255" t="s">
        <v>26</v>
      </c>
      <c r="L55" s="221">
        <v>44580</v>
      </c>
      <c r="M55" s="221">
        <v>44580</v>
      </c>
      <c r="N55" s="228"/>
      <c r="O55" s="126"/>
      <c r="P55" s="126"/>
      <c r="Q55" s="126"/>
      <c r="R55" s="126"/>
    </row>
    <row r="56" spans="1:18" s="124" customFormat="1" ht="126">
      <c r="A56" s="218">
        <v>2</v>
      </c>
      <c r="B56" s="219" t="s">
        <v>572</v>
      </c>
      <c r="C56" s="220" t="s">
        <v>120</v>
      </c>
      <c r="D56" s="221">
        <v>44574</v>
      </c>
      <c r="E56" s="222" t="s">
        <v>573</v>
      </c>
      <c r="F56" s="223">
        <v>24140</v>
      </c>
      <c r="G56" s="224" t="s">
        <v>571</v>
      </c>
      <c r="H56" s="223">
        <f>F56</f>
        <v>24140</v>
      </c>
      <c r="I56" s="225" t="s">
        <v>361</v>
      </c>
      <c r="J56" s="221">
        <v>44581</v>
      </c>
      <c r="K56" s="255" t="s">
        <v>26</v>
      </c>
      <c r="L56" s="221">
        <v>44580</v>
      </c>
      <c r="M56" s="221">
        <v>44580</v>
      </c>
      <c r="N56" s="228"/>
      <c r="O56" s="126"/>
      <c r="P56" s="126"/>
      <c r="Q56" s="126"/>
      <c r="R56" s="126"/>
    </row>
    <row r="57" spans="1:18" s="124" customFormat="1" ht="189">
      <c r="A57" s="229">
        <v>3</v>
      </c>
      <c r="B57" s="230" t="s">
        <v>529</v>
      </c>
      <c r="C57" s="231" t="s">
        <v>121</v>
      </c>
      <c r="D57" s="232">
        <v>44578</v>
      </c>
      <c r="E57" s="233" t="s">
        <v>530</v>
      </c>
      <c r="F57" s="234">
        <v>24306</v>
      </c>
      <c r="G57" s="235" t="s">
        <v>377</v>
      </c>
      <c r="H57" s="234">
        <f t="shared" ref="H57:H63" si="1">F57</f>
        <v>24306</v>
      </c>
      <c r="I57" s="236" t="s">
        <v>361</v>
      </c>
      <c r="J57" s="237">
        <v>44585</v>
      </c>
      <c r="K57" s="294" t="s">
        <v>68</v>
      </c>
      <c r="L57" s="237">
        <v>44585</v>
      </c>
      <c r="M57" s="237">
        <v>44585</v>
      </c>
      <c r="N57" s="120"/>
      <c r="O57" s="126"/>
      <c r="P57" s="126"/>
      <c r="Q57" s="126"/>
      <c r="R57" s="126"/>
    </row>
    <row r="58" spans="1:18" s="124" customFormat="1" ht="189">
      <c r="A58" s="229">
        <v>4</v>
      </c>
      <c r="B58" s="230" t="s">
        <v>537</v>
      </c>
      <c r="C58" s="231" t="s">
        <v>122</v>
      </c>
      <c r="D58" s="232">
        <v>44581</v>
      </c>
      <c r="E58" s="233" t="s">
        <v>538</v>
      </c>
      <c r="F58" s="234">
        <v>19738</v>
      </c>
      <c r="G58" s="235" t="s">
        <v>377</v>
      </c>
      <c r="H58" s="234">
        <f t="shared" si="1"/>
        <v>19738</v>
      </c>
      <c r="I58" s="236" t="s">
        <v>361</v>
      </c>
      <c r="J58" s="237">
        <v>44588</v>
      </c>
      <c r="K58" s="294" t="s">
        <v>539</v>
      </c>
      <c r="L58" s="237">
        <v>44588</v>
      </c>
      <c r="M58" s="237">
        <v>44588</v>
      </c>
      <c r="N58" s="120"/>
      <c r="O58" s="126"/>
      <c r="P58" s="126"/>
      <c r="Q58" s="126"/>
      <c r="R58" s="126"/>
    </row>
    <row r="59" spans="1:18" s="124" customFormat="1" ht="189">
      <c r="A59" s="229">
        <v>5</v>
      </c>
      <c r="B59" s="230" t="s">
        <v>547</v>
      </c>
      <c r="C59" s="231" t="s">
        <v>123</v>
      </c>
      <c r="D59" s="232">
        <v>44581</v>
      </c>
      <c r="E59" s="233" t="s">
        <v>540</v>
      </c>
      <c r="F59" s="234">
        <v>19813</v>
      </c>
      <c r="G59" s="235" t="s">
        <v>377</v>
      </c>
      <c r="H59" s="234">
        <f t="shared" si="1"/>
        <v>19813</v>
      </c>
      <c r="I59" s="236" t="s">
        <v>361</v>
      </c>
      <c r="J59" s="237">
        <v>44588</v>
      </c>
      <c r="K59" s="256" t="s">
        <v>26</v>
      </c>
      <c r="L59" s="237">
        <v>44588</v>
      </c>
      <c r="M59" s="237">
        <v>44588</v>
      </c>
      <c r="N59" s="120"/>
      <c r="O59" s="126"/>
      <c r="P59" s="126"/>
      <c r="Q59" s="126"/>
      <c r="R59" s="126"/>
    </row>
    <row r="60" spans="1:18" s="124" customFormat="1" ht="112.5">
      <c r="A60" s="229">
        <v>6</v>
      </c>
      <c r="B60" s="230" t="s">
        <v>549</v>
      </c>
      <c r="C60" s="231" t="s">
        <v>125</v>
      </c>
      <c r="D60" s="232">
        <v>44585</v>
      </c>
      <c r="E60" s="233" t="s">
        <v>550</v>
      </c>
      <c r="F60" s="234">
        <v>41007</v>
      </c>
      <c r="G60" s="162" t="s">
        <v>574</v>
      </c>
      <c r="H60" s="234">
        <f t="shared" si="1"/>
        <v>41007</v>
      </c>
      <c r="I60" s="236" t="s">
        <v>361</v>
      </c>
      <c r="J60" s="237">
        <v>44592</v>
      </c>
      <c r="K60" s="256" t="s">
        <v>26</v>
      </c>
      <c r="L60" s="237">
        <v>44587</v>
      </c>
      <c r="M60" s="237">
        <v>44587</v>
      </c>
      <c r="N60" s="120"/>
      <c r="O60" s="126"/>
      <c r="P60" s="126"/>
      <c r="Q60" s="126"/>
      <c r="R60" s="126"/>
    </row>
    <row r="61" spans="1:18" s="124" customFormat="1" ht="168">
      <c r="A61" s="229">
        <v>7</v>
      </c>
      <c r="B61" s="230" t="s">
        <v>551</v>
      </c>
      <c r="C61" s="231" t="s">
        <v>90</v>
      </c>
      <c r="D61" s="232">
        <v>44585</v>
      </c>
      <c r="E61" s="233" t="s">
        <v>570</v>
      </c>
      <c r="F61" s="234">
        <f>100*550</f>
        <v>55000</v>
      </c>
      <c r="G61" s="235" t="s">
        <v>552</v>
      </c>
      <c r="H61" s="234">
        <f t="shared" si="1"/>
        <v>55000</v>
      </c>
      <c r="I61" s="236" t="s">
        <v>553</v>
      </c>
      <c r="J61" s="237">
        <v>44592</v>
      </c>
      <c r="K61" s="256" t="s">
        <v>37</v>
      </c>
      <c r="L61" s="237">
        <v>44588</v>
      </c>
      <c r="M61" s="237">
        <v>44588</v>
      </c>
      <c r="N61" s="120"/>
      <c r="O61" s="126"/>
      <c r="P61" s="126"/>
      <c r="Q61" s="126"/>
      <c r="R61" s="126"/>
    </row>
    <row r="62" spans="1:18" s="124" customFormat="1" ht="168">
      <c r="A62" s="229">
        <v>8</v>
      </c>
      <c r="B62" s="230" t="s">
        <v>567</v>
      </c>
      <c r="C62" s="231" t="s">
        <v>91</v>
      </c>
      <c r="D62" s="232">
        <v>44587</v>
      </c>
      <c r="E62" s="233" t="s">
        <v>575</v>
      </c>
      <c r="F62" s="234">
        <v>19370</v>
      </c>
      <c r="G62" s="235" t="s">
        <v>566</v>
      </c>
      <c r="H62" s="234">
        <f t="shared" si="1"/>
        <v>19370</v>
      </c>
      <c r="I62" s="236" t="s">
        <v>361</v>
      </c>
      <c r="J62" s="237">
        <v>44594</v>
      </c>
      <c r="K62" s="256" t="s">
        <v>38</v>
      </c>
      <c r="L62" s="237">
        <v>44594</v>
      </c>
      <c r="M62" s="237">
        <v>44594</v>
      </c>
      <c r="N62" s="120"/>
      <c r="O62" s="126"/>
      <c r="P62" s="126"/>
      <c r="Q62" s="126"/>
      <c r="R62" s="126"/>
    </row>
    <row r="63" spans="1:18" s="124" customFormat="1" ht="126">
      <c r="A63" s="229">
        <v>9</v>
      </c>
      <c r="B63" s="230" t="s">
        <v>568</v>
      </c>
      <c r="C63" s="231" t="s">
        <v>92</v>
      </c>
      <c r="D63" s="232">
        <v>44588</v>
      </c>
      <c r="E63" s="233" t="s">
        <v>569</v>
      </c>
      <c r="F63" s="234">
        <f>1440*5</f>
        <v>7200</v>
      </c>
      <c r="G63" s="300" t="s">
        <v>171</v>
      </c>
      <c r="H63" s="234">
        <f t="shared" si="1"/>
        <v>7200</v>
      </c>
      <c r="I63" s="236" t="s">
        <v>361</v>
      </c>
      <c r="J63" s="237">
        <v>44595</v>
      </c>
      <c r="K63" s="256" t="s">
        <v>26</v>
      </c>
      <c r="L63" s="237">
        <v>44595</v>
      </c>
      <c r="M63" s="237">
        <v>44595</v>
      </c>
      <c r="N63" s="120"/>
      <c r="O63" s="126"/>
      <c r="P63" s="126"/>
      <c r="Q63" s="126"/>
      <c r="R63" s="126"/>
    </row>
    <row r="64" spans="1:18" s="124" customFormat="1">
      <c r="A64" s="227"/>
      <c r="B64" s="149"/>
      <c r="C64" s="151"/>
      <c r="D64" s="174"/>
      <c r="E64" s="120"/>
      <c r="F64" s="175"/>
      <c r="G64" s="299"/>
      <c r="H64" s="175"/>
      <c r="I64" s="180"/>
      <c r="J64" s="176"/>
      <c r="K64" s="177"/>
      <c r="L64" s="176"/>
      <c r="M64" s="176"/>
      <c r="N64" s="120"/>
      <c r="O64" s="126"/>
      <c r="P64" s="126"/>
      <c r="Q64" s="126"/>
      <c r="R64" s="126"/>
    </row>
    <row r="65" spans="1:18" s="124" customFormat="1">
      <c r="A65" s="227"/>
      <c r="B65" s="149"/>
      <c r="C65" s="151"/>
      <c r="D65" s="174"/>
      <c r="E65" s="120"/>
      <c r="F65" s="175"/>
      <c r="G65" s="299"/>
      <c r="H65" s="175"/>
      <c r="I65" s="180"/>
      <c r="J65" s="176"/>
      <c r="K65" s="177"/>
      <c r="L65" s="176"/>
      <c r="M65" s="176"/>
      <c r="N65" s="120"/>
      <c r="O65" s="126"/>
      <c r="P65" s="126"/>
      <c r="Q65" s="126"/>
      <c r="R65" s="126"/>
    </row>
    <row r="66" spans="1:18" s="124" customFormat="1">
      <c r="A66" s="227"/>
      <c r="B66" s="149"/>
      <c r="C66" s="151"/>
      <c r="D66" s="174"/>
      <c r="E66" s="120"/>
      <c r="F66" s="175"/>
      <c r="G66" s="299"/>
      <c r="H66" s="175"/>
      <c r="I66" s="180"/>
      <c r="J66" s="176"/>
      <c r="K66" s="177"/>
      <c r="L66" s="176"/>
      <c r="M66" s="176"/>
      <c r="N66" s="120"/>
      <c r="O66" s="126"/>
      <c r="P66" s="126"/>
      <c r="Q66" s="126"/>
      <c r="R66" s="126"/>
    </row>
    <row r="67" spans="1:18" s="71" customFormat="1">
      <c r="A67" s="529"/>
      <c r="B67" s="530"/>
      <c r="C67" s="530"/>
      <c r="D67" s="530"/>
      <c r="E67" s="530"/>
      <c r="F67" s="252"/>
      <c r="G67" s="50"/>
      <c r="H67" s="252"/>
      <c r="I67" s="70"/>
      <c r="J67" s="50"/>
      <c r="K67" s="50"/>
      <c r="L67" s="50"/>
      <c r="M67" s="50"/>
      <c r="N67" s="73"/>
      <c r="O67" s="50"/>
      <c r="P67" s="50"/>
      <c r="Q67" s="50"/>
      <c r="R67" s="50"/>
    </row>
    <row r="68" spans="1:18" s="71" customFormat="1">
      <c r="A68" s="531" t="s">
        <v>617</v>
      </c>
      <c r="B68" s="532"/>
      <c r="C68" s="532"/>
      <c r="D68" s="532"/>
      <c r="E68" s="532"/>
      <c r="F68" s="296"/>
      <c r="G68" s="297"/>
      <c r="H68" s="296"/>
      <c r="I68" s="298"/>
      <c r="J68" s="297"/>
      <c r="K68" s="297"/>
      <c r="L68" s="297"/>
      <c r="M68" s="297"/>
      <c r="N68" s="73"/>
      <c r="O68" s="50"/>
      <c r="P68" s="50"/>
      <c r="Q68" s="50"/>
      <c r="R68" s="50"/>
    </row>
    <row r="69" spans="1:18" s="313" customFormat="1" ht="126">
      <c r="A69" s="301">
        <v>1</v>
      </c>
      <c r="B69" s="302" t="s">
        <v>577</v>
      </c>
      <c r="C69" s="303" t="s">
        <v>93</v>
      </c>
      <c r="D69" s="304">
        <v>44594</v>
      </c>
      <c r="E69" s="305" t="s">
        <v>578</v>
      </c>
      <c r="F69" s="306">
        <f>1440*1</f>
        <v>1440</v>
      </c>
      <c r="G69" s="307" t="s">
        <v>171</v>
      </c>
      <c r="H69" s="306">
        <f t="shared" ref="H69" si="2">F69</f>
        <v>1440</v>
      </c>
      <c r="I69" s="308" t="s">
        <v>361</v>
      </c>
      <c r="J69" s="309">
        <v>44601</v>
      </c>
      <c r="K69" s="310" t="s">
        <v>61</v>
      </c>
      <c r="L69" s="309">
        <v>44601</v>
      </c>
      <c r="M69" s="309">
        <v>44601</v>
      </c>
      <c r="N69" s="311"/>
      <c r="O69" s="312"/>
      <c r="P69" s="312"/>
      <c r="Q69" s="312"/>
      <c r="R69" s="312"/>
    </row>
    <row r="70" spans="1:18" s="313" customFormat="1" ht="147">
      <c r="A70" s="301">
        <v>2</v>
      </c>
      <c r="B70" s="302" t="s">
        <v>579</v>
      </c>
      <c r="C70" s="303" t="s">
        <v>94</v>
      </c>
      <c r="D70" s="304">
        <v>44595</v>
      </c>
      <c r="E70" s="305" t="s">
        <v>588</v>
      </c>
      <c r="F70" s="306">
        <v>50300</v>
      </c>
      <c r="G70" s="127" t="s">
        <v>343</v>
      </c>
      <c r="H70" s="306">
        <f t="shared" ref="H70" si="3">F70</f>
        <v>50300</v>
      </c>
      <c r="I70" s="308" t="s">
        <v>589</v>
      </c>
      <c r="J70" s="309">
        <v>44602</v>
      </c>
      <c r="K70" s="310" t="s">
        <v>26</v>
      </c>
      <c r="L70" s="309">
        <v>44602</v>
      </c>
      <c r="M70" s="309">
        <v>44602</v>
      </c>
      <c r="N70" s="311"/>
      <c r="O70" s="312"/>
      <c r="P70" s="312"/>
      <c r="Q70" s="312"/>
      <c r="R70" s="312"/>
    </row>
    <row r="71" spans="1:18" s="313" customFormat="1" ht="147">
      <c r="A71" s="301">
        <v>3</v>
      </c>
      <c r="B71" s="302" t="s">
        <v>599</v>
      </c>
      <c r="C71" s="303" t="s">
        <v>95</v>
      </c>
      <c r="D71" s="304">
        <v>44610</v>
      </c>
      <c r="E71" s="305" t="s">
        <v>600</v>
      </c>
      <c r="F71" s="306">
        <v>9978</v>
      </c>
      <c r="G71" s="214" t="s">
        <v>601</v>
      </c>
      <c r="H71" s="306">
        <f t="shared" ref="H71" si="4">F71</f>
        <v>9978</v>
      </c>
      <c r="I71" s="320" t="s">
        <v>589</v>
      </c>
      <c r="J71" s="309">
        <v>44617</v>
      </c>
      <c r="K71" s="310" t="s">
        <v>26</v>
      </c>
      <c r="L71" s="304">
        <v>44615</v>
      </c>
      <c r="M71" s="304">
        <v>44615</v>
      </c>
      <c r="N71" s="311"/>
      <c r="O71" s="312"/>
      <c r="P71" s="312"/>
      <c r="Q71" s="312"/>
      <c r="R71" s="312"/>
    </row>
    <row r="72" spans="1:18" s="313" customFormat="1" ht="147">
      <c r="A72" s="301">
        <v>4</v>
      </c>
      <c r="B72" s="302" t="s">
        <v>613</v>
      </c>
      <c r="C72" s="303" t="s">
        <v>96</v>
      </c>
      <c r="D72" s="304">
        <v>44620</v>
      </c>
      <c r="E72" s="305" t="s">
        <v>614</v>
      </c>
      <c r="F72" s="306">
        <v>31150</v>
      </c>
      <c r="G72" s="235" t="s">
        <v>615</v>
      </c>
      <c r="H72" s="306">
        <f t="shared" ref="H72" si="5">F72</f>
        <v>31150</v>
      </c>
      <c r="I72" s="236" t="s">
        <v>44</v>
      </c>
      <c r="J72" s="304">
        <v>44627</v>
      </c>
      <c r="K72" s="310" t="s">
        <v>37</v>
      </c>
      <c r="L72" s="304">
        <v>44623</v>
      </c>
      <c r="M72" s="304">
        <v>44623</v>
      </c>
      <c r="N72" s="311"/>
      <c r="O72" s="312"/>
      <c r="P72" s="312"/>
      <c r="Q72" s="312"/>
      <c r="R72" s="312"/>
    </row>
    <row r="73" spans="1:18" s="313" customFormat="1">
      <c r="A73" s="326"/>
      <c r="B73" s="327"/>
      <c r="C73" s="328"/>
      <c r="D73" s="329"/>
      <c r="E73" s="311"/>
      <c r="F73" s="330"/>
      <c r="G73" s="134"/>
      <c r="H73" s="330"/>
      <c r="I73" s="180"/>
      <c r="J73" s="332"/>
      <c r="K73" s="333"/>
      <c r="L73" s="332"/>
      <c r="M73" s="332"/>
      <c r="N73" s="311"/>
      <c r="O73" s="312"/>
      <c r="P73" s="312"/>
      <c r="Q73" s="312"/>
      <c r="R73" s="312"/>
    </row>
    <row r="74" spans="1:18" s="313" customFormat="1">
      <c r="A74" s="326"/>
      <c r="B74" s="327"/>
      <c r="C74" s="328"/>
      <c r="D74" s="329"/>
      <c r="E74" s="311"/>
      <c r="F74" s="330"/>
      <c r="G74" s="134"/>
      <c r="H74" s="330"/>
      <c r="I74" s="180"/>
      <c r="J74" s="332"/>
      <c r="K74" s="333"/>
      <c r="L74" s="332"/>
      <c r="M74" s="332"/>
      <c r="N74" s="311"/>
      <c r="O74" s="312"/>
      <c r="P74" s="312"/>
      <c r="Q74" s="312"/>
      <c r="R74" s="312"/>
    </row>
    <row r="75" spans="1:18" s="313" customFormat="1">
      <c r="A75" s="326"/>
      <c r="B75" s="327"/>
      <c r="C75" s="328"/>
      <c r="D75" s="329"/>
      <c r="E75" s="311"/>
      <c r="F75" s="330"/>
      <c r="G75" s="134"/>
      <c r="H75" s="330"/>
      <c r="I75" s="180"/>
      <c r="J75" s="332"/>
      <c r="K75" s="333"/>
      <c r="L75" s="332"/>
      <c r="M75" s="332"/>
      <c r="N75" s="311"/>
      <c r="O75" s="312"/>
      <c r="P75" s="312"/>
      <c r="Q75" s="312"/>
      <c r="R75" s="312"/>
    </row>
    <row r="76" spans="1:18" s="313" customFormat="1">
      <c r="A76" s="326"/>
      <c r="B76" s="327"/>
      <c r="C76" s="328"/>
      <c r="D76" s="329"/>
      <c r="E76" s="311"/>
      <c r="F76" s="330"/>
      <c r="G76" s="134"/>
      <c r="H76" s="330"/>
      <c r="I76" s="180"/>
      <c r="J76" s="332"/>
      <c r="K76" s="333"/>
      <c r="L76" s="332"/>
      <c r="M76" s="332"/>
      <c r="N76" s="311"/>
      <c r="O76" s="312"/>
      <c r="P76" s="312"/>
      <c r="Q76" s="312"/>
      <c r="R76" s="312"/>
    </row>
    <row r="77" spans="1:18" s="313" customFormat="1">
      <c r="A77" s="326"/>
      <c r="B77" s="327"/>
      <c r="C77" s="328"/>
      <c r="D77" s="329"/>
      <c r="E77" s="311"/>
      <c r="F77" s="330"/>
      <c r="G77" s="134"/>
      <c r="H77" s="330"/>
      <c r="I77" s="180"/>
      <c r="J77" s="332"/>
      <c r="K77" s="333"/>
      <c r="L77" s="332"/>
      <c r="M77" s="332"/>
      <c r="N77" s="311"/>
      <c r="O77" s="312"/>
      <c r="P77" s="312"/>
      <c r="Q77" s="312"/>
      <c r="R77" s="312"/>
    </row>
    <row r="78" spans="1:18" s="313" customFormat="1">
      <c r="A78" s="326"/>
      <c r="B78" s="327"/>
      <c r="C78" s="328"/>
      <c r="D78" s="329"/>
      <c r="E78" s="311"/>
      <c r="F78" s="330"/>
      <c r="G78" s="134"/>
      <c r="H78" s="330"/>
      <c r="I78" s="180"/>
      <c r="J78" s="332"/>
      <c r="K78" s="333"/>
      <c r="L78" s="332"/>
      <c r="M78" s="332"/>
      <c r="N78" s="311"/>
      <c r="O78" s="312"/>
      <c r="P78" s="312"/>
      <c r="Q78" s="312"/>
      <c r="R78" s="312"/>
    </row>
    <row r="79" spans="1:18" s="313" customFormat="1">
      <c r="A79" s="326"/>
      <c r="B79" s="327"/>
      <c r="C79" s="328"/>
      <c r="D79" s="329"/>
      <c r="E79" s="311"/>
      <c r="F79" s="330"/>
      <c r="G79" s="134"/>
      <c r="H79" s="330"/>
      <c r="I79" s="180"/>
      <c r="J79" s="332"/>
      <c r="K79" s="333"/>
      <c r="L79" s="332"/>
      <c r="M79" s="332"/>
      <c r="N79" s="311"/>
      <c r="O79" s="312"/>
      <c r="P79" s="312"/>
      <c r="Q79" s="312"/>
      <c r="R79" s="312"/>
    </row>
    <row r="80" spans="1:18" s="313" customFormat="1">
      <c r="A80" s="326"/>
      <c r="B80" s="327"/>
      <c r="C80" s="328"/>
      <c r="D80" s="329"/>
      <c r="E80" s="311"/>
      <c r="F80" s="330"/>
      <c r="G80" s="134"/>
      <c r="H80" s="330"/>
      <c r="I80" s="180"/>
      <c r="J80" s="332"/>
      <c r="K80" s="333"/>
      <c r="L80" s="332"/>
      <c r="M80" s="332"/>
      <c r="N80" s="311"/>
      <c r="O80" s="312"/>
      <c r="P80" s="312"/>
      <c r="Q80" s="312"/>
      <c r="R80" s="312"/>
    </row>
    <row r="81" spans="1:18" s="313" customFormat="1">
      <c r="A81" s="326"/>
      <c r="B81" s="327"/>
      <c r="C81" s="328"/>
      <c r="D81" s="329"/>
      <c r="E81" s="311"/>
      <c r="F81" s="330"/>
      <c r="G81" s="134"/>
      <c r="H81" s="330"/>
      <c r="I81" s="180"/>
      <c r="J81" s="332"/>
      <c r="K81" s="333"/>
      <c r="L81" s="332"/>
      <c r="M81" s="332"/>
      <c r="N81" s="311"/>
      <c r="O81" s="312"/>
      <c r="P81" s="312"/>
      <c r="Q81" s="312"/>
      <c r="R81" s="312"/>
    </row>
    <row r="82" spans="1:18" s="313" customFormat="1">
      <c r="A82" s="326"/>
      <c r="B82" s="327"/>
      <c r="C82" s="328"/>
      <c r="D82" s="329"/>
      <c r="E82" s="311"/>
      <c r="F82" s="330"/>
      <c r="G82" s="134"/>
      <c r="H82" s="330"/>
      <c r="I82" s="331"/>
      <c r="J82" s="332"/>
      <c r="K82" s="333"/>
      <c r="L82" s="332"/>
      <c r="M82" s="332"/>
      <c r="N82" s="311"/>
      <c r="O82" s="312"/>
      <c r="P82" s="312"/>
      <c r="Q82" s="312"/>
      <c r="R82" s="312"/>
    </row>
    <row r="83" spans="1:18" s="313" customFormat="1">
      <c r="A83" s="326"/>
      <c r="B83" s="327"/>
      <c r="C83" s="328"/>
      <c r="D83" s="329"/>
      <c r="E83" s="311"/>
      <c r="F83" s="330"/>
      <c r="G83" s="134"/>
      <c r="H83" s="330"/>
      <c r="I83" s="331"/>
      <c r="J83" s="332"/>
      <c r="K83" s="333"/>
      <c r="L83" s="332"/>
      <c r="M83" s="332"/>
      <c r="N83" s="311"/>
      <c r="O83" s="312"/>
      <c r="P83" s="312"/>
      <c r="Q83" s="312"/>
      <c r="R83" s="312"/>
    </row>
    <row r="84" spans="1:18" s="313" customFormat="1">
      <c r="A84" s="326"/>
      <c r="B84" s="327"/>
      <c r="C84" s="328"/>
      <c r="D84" s="329"/>
      <c r="E84" s="311"/>
      <c r="F84" s="330"/>
      <c r="G84" s="134"/>
      <c r="H84" s="330"/>
      <c r="I84" s="331"/>
      <c r="J84" s="332"/>
      <c r="K84" s="333"/>
      <c r="L84" s="332"/>
      <c r="M84" s="332"/>
      <c r="N84" s="311"/>
      <c r="O84" s="312"/>
      <c r="P84" s="312"/>
      <c r="Q84" s="312"/>
      <c r="R84" s="312"/>
    </row>
    <row r="85" spans="1:18" s="313" customFormat="1">
      <c r="A85" s="326"/>
      <c r="B85" s="327"/>
      <c r="C85" s="328"/>
      <c r="D85" s="329"/>
      <c r="E85" s="311"/>
      <c r="F85" s="330"/>
      <c r="G85" s="134"/>
      <c r="H85" s="330"/>
      <c r="I85" s="331"/>
      <c r="J85" s="332"/>
      <c r="K85" s="333"/>
      <c r="L85" s="332"/>
      <c r="M85" s="332"/>
      <c r="N85" s="311"/>
      <c r="O85" s="312"/>
      <c r="P85" s="312"/>
      <c r="Q85" s="312"/>
      <c r="R85" s="312"/>
    </row>
    <row r="86" spans="1:18" s="313" customFormat="1">
      <c r="A86" s="326"/>
      <c r="B86" s="327"/>
      <c r="C86" s="328"/>
      <c r="D86" s="329"/>
      <c r="E86" s="311"/>
      <c r="F86" s="330"/>
      <c r="G86" s="134"/>
      <c r="H86" s="330"/>
      <c r="I86" s="331"/>
      <c r="J86" s="332"/>
      <c r="K86" s="333"/>
      <c r="L86" s="332"/>
      <c r="M86" s="332"/>
      <c r="N86" s="311"/>
      <c r="O86" s="312"/>
      <c r="P86" s="312"/>
      <c r="Q86" s="312"/>
      <c r="R86" s="312"/>
    </row>
    <row r="87" spans="1:18" s="313" customFormat="1">
      <c r="A87" s="326"/>
      <c r="B87" s="327"/>
      <c r="C87" s="328"/>
      <c r="D87" s="329"/>
      <c r="E87" s="311"/>
      <c r="F87" s="330"/>
      <c r="G87" s="134"/>
      <c r="H87" s="330"/>
      <c r="I87" s="331"/>
      <c r="J87" s="332"/>
      <c r="K87" s="333"/>
      <c r="L87" s="332"/>
      <c r="M87" s="332"/>
      <c r="N87" s="311"/>
      <c r="O87" s="312"/>
      <c r="P87" s="312"/>
      <c r="Q87" s="312"/>
      <c r="R87" s="312"/>
    </row>
    <row r="88" spans="1:18" s="313" customFormat="1">
      <c r="A88" s="326"/>
      <c r="B88" s="327"/>
      <c r="C88" s="328"/>
      <c r="D88" s="329"/>
      <c r="E88" s="311"/>
      <c r="F88" s="330"/>
      <c r="G88" s="134"/>
      <c r="H88" s="330"/>
      <c r="I88" s="331"/>
      <c r="J88" s="332"/>
      <c r="K88" s="333"/>
      <c r="L88" s="332"/>
      <c r="M88" s="332"/>
      <c r="N88" s="311"/>
      <c r="O88" s="312"/>
      <c r="P88" s="312"/>
      <c r="Q88" s="312"/>
      <c r="R88" s="312"/>
    </row>
    <row r="89" spans="1:18" s="313" customFormat="1">
      <c r="A89" s="326"/>
      <c r="B89" s="327"/>
      <c r="C89" s="328"/>
      <c r="D89" s="329"/>
      <c r="E89" s="311"/>
      <c r="F89" s="330"/>
      <c r="G89" s="134"/>
      <c r="H89" s="330"/>
      <c r="I89" s="331"/>
      <c r="J89" s="332"/>
      <c r="K89" s="333"/>
      <c r="L89" s="332"/>
      <c r="M89" s="332"/>
      <c r="N89" s="311"/>
      <c r="O89" s="312"/>
      <c r="P89" s="312"/>
      <c r="Q89" s="312"/>
      <c r="R89" s="312"/>
    </row>
    <row r="90" spans="1:18" s="71" customFormat="1">
      <c r="A90" s="531" t="s">
        <v>646</v>
      </c>
      <c r="B90" s="532"/>
      <c r="C90" s="532"/>
      <c r="D90" s="532"/>
      <c r="E90" s="532"/>
      <c r="F90" s="296"/>
      <c r="G90" s="50"/>
      <c r="H90" s="296"/>
      <c r="I90" s="298"/>
      <c r="J90" s="297"/>
      <c r="K90" s="297"/>
      <c r="L90" s="297"/>
      <c r="M90" s="297"/>
      <c r="N90" s="73"/>
      <c r="O90" s="50"/>
      <c r="P90" s="50"/>
      <c r="Q90" s="50"/>
      <c r="R90" s="50"/>
    </row>
    <row r="91" spans="1:18" s="313" customFormat="1" ht="126">
      <c r="A91" s="301">
        <v>1</v>
      </c>
      <c r="B91" s="302" t="s">
        <v>42</v>
      </c>
      <c r="C91" s="303" t="s">
        <v>97</v>
      </c>
      <c r="D91" s="304">
        <v>44621</v>
      </c>
      <c r="E91" s="305" t="s">
        <v>618</v>
      </c>
      <c r="F91" s="306">
        <f>400*29.79</f>
        <v>11916</v>
      </c>
      <c r="G91" s="300" t="s">
        <v>171</v>
      </c>
      <c r="H91" s="306">
        <f t="shared" ref="H91" si="6">F91</f>
        <v>11916</v>
      </c>
      <c r="I91" s="236" t="s">
        <v>44</v>
      </c>
      <c r="J91" s="304">
        <v>44621</v>
      </c>
      <c r="K91" s="310" t="s">
        <v>26</v>
      </c>
      <c r="L91" s="304">
        <v>44621</v>
      </c>
      <c r="M91" s="304">
        <v>44621</v>
      </c>
      <c r="N91" s="311"/>
      <c r="O91" s="312"/>
      <c r="P91" s="312"/>
      <c r="Q91" s="312"/>
      <c r="R91" s="312"/>
    </row>
    <row r="92" spans="1:18" s="313" customFormat="1" ht="147">
      <c r="A92" s="301">
        <v>2</v>
      </c>
      <c r="B92" s="302" t="s">
        <v>619</v>
      </c>
      <c r="C92" s="303" t="s">
        <v>98</v>
      </c>
      <c r="D92" s="304">
        <v>44622</v>
      </c>
      <c r="E92" s="305" t="s">
        <v>620</v>
      </c>
      <c r="F92" s="306">
        <f>1000*110</f>
        <v>110000</v>
      </c>
      <c r="G92" s="300" t="s">
        <v>621</v>
      </c>
      <c r="H92" s="306">
        <f t="shared" ref="H92" si="7">F92</f>
        <v>110000</v>
      </c>
      <c r="I92" s="236" t="s">
        <v>44</v>
      </c>
      <c r="J92" s="304">
        <v>44629</v>
      </c>
      <c r="K92" s="310" t="s">
        <v>26</v>
      </c>
      <c r="L92" s="304">
        <v>44627</v>
      </c>
      <c r="M92" s="304">
        <v>44627</v>
      </c>
      <c r="N92" s="311"/>
      <c r="O92" s="312"/>
      <c r="P92" s="312"/>
      <c r="Q92" s="312"/>
      <c r="R92" s="312"/>
    </row>
    <row r="93" spans="1:18" s="313" customFormat="1" ht="126">
      <c r="A93" s="301">
        <v>3</v>
      </c>
      <c r="B93" s="302" t="s">
        <v>628</v>
      </c>
      <c r="C93" s="303" t="s">
        <v>99</v>
      </c>
      <c r="D93" s="304">
        <v>44636</v>
      </c>
      <c r="E93" s="305" t="s">
        <v>630</v>
      </c>
      <c r="F93" s="306">
        <f>1440*4</f>
        <v>5760</v>
      </c>
      <c r="G93" s="300" t="s">
        <v>171</v>
      </c>
      <c r="H93" s="306">
        <f t="shared" ref="H93" si="8">F93</f>
        <v>5760</v>
      </c>
      <c r="I93" s="236" t="s">
        <v>44</v>
      </c>
      <c r="J93" s="304">
        <v>44643</v>
      </c>
      <c r="K93" s="310" t="s">
        <v>61</v>
      </c>
      <c r="L93" s="304">
        <v>44643</v>
      </c>
      <c r="M93" s="304">
        <v>44643</v>
      </c>
      <c r="N93" s="311"/>
      <c r="O93" s="312"/>
      <c r="P93" s="312"/>
      <c r="Q93" s="312"/>
      <c r="R93" s="312"/>
    </row>
    <row r="94" spans="1:18" s="313" customFormat="1" ht="112.5">
      <c r="A94" s="301">
        <v>4</v>
      </c>
      <c r="B94" s="302" t="s">
        <v>629</v>
      </c>
      <c r="C94" s="303" t="s">
        <v>100</v>
      </c>
      <c r="D94" s="304">
        <v>44641</v>
      </c>
      <c r="E94" s="305" t="s">
        <v>745</v>
      </c>
      <c r="F94" s="306">
        <v>48715</v>
      </c>
      <c r="G94" s="334" t="s">
        <v>185</v>
      </c>
      <c r="H94" s="306">
        <f t="shared" ref="H94" si="9">F94</f>
        <v>48715</v>
      </c>
      <c r="I94" s="236" t="s">
        <v>44</v>
      </c>
      <c r="J94" s="304">
        <v>44648</v>
      </c>
      <c r="K94" s="310" t="s">
        <v>26</v>
      </c>
      <c r="L94" s="304">
        <v>44648</v>
      </c>
      <c r="M94" s="304">
        <v>44648</v>
      </c>
      <c r="N94" s="311"/>
      <c r="O94" s="312"/>
      <c r="P94" s="312"/>
      <c r="Q94" s="312"/>
      <c r="R94" s="312"/>
    </row>
    <row r="95" spans="1:18" s="313" customFormat="1" ht="147">
      <c r="A95" s="301">
        <v>5</v>
      </c>
      <c r="B95" s="302" t="s">
        <v>631</v>
      </c>
      <c r="C95" s="303" t="s">
        <v>101</v>
      </c>
      <c r="D95" s="304">
        <v>44641</v>
      </c>
      <c r="E95" s="305" t="s">
        <v>632</v>
      </c>
      <c r="F95" s="306">
        <v>17760</v>
      </c>
      <c r="G95" s="224" t="s">
        <v>528</v>
      </c>
      <c r="H95" s="306">
        <f t="shared" ref="H95" si="10">F95</f>
        <v>17760</v>
      </c>
      <c r="I95" s="236" t="s">
        <v>44</v>
      </c>
      <c r="J95" s="304">
        <v>44648</v>
      </c>
      <c r="K95" s="310" t="s">
        <v>26</v>
      </c>
      <c r="L95" s="304">
        <v>44648</v>
      </c>
      <c r="M95" s="304">
        <v>44648</v>
      </c>
      <c r="N95" s="311"/>
      <c r="O95" s="312"/>
      <c r="P95" s="312"/>
      <c r="Q95" s="312"/>
      <c r="R95" s="312"/>
    </row>
    <row r="96" spans="1:18" s="313" customFormat="1" ht="147">
      <c r="A96" s="301">
        <v>6</v>
      </c>
      <c r="B96" s="302" t="s">
        <v>633</v>
      </c>
      <c r="C96" s="303" t="s">
        <v>102</v>
      </c>
      <c r="D96" s="304">
        <v>44641</v>
      </c>
      <c r="E96" s="305" t="s">
        <v>634</v>
      </c>
      <c r="F96" s="306">
        <v>8970</v>
      </c>
      <c r="G96" s="235" t="s">
        <v>615</v>
      </c>
      <c r="H96" s="306">
        <f t="shared" ref="H96" si="11">F96</f>
        <v>8970</v>
      </c>
      <c r="I96" s="236" t="s">
        <v>44</v>
      </c>
      <c r="J96" s="304">
        <v>44648</v>
      </c>
      <c r="K96" s="310" t="s">
        <v>61</v>
      </c>
      <c r="L96" s="304">
        <v>44648</v>
      </c>
      <c r="M96" s="304">
        <v>44648</v>
      </c>
      <c r="N96" s="311"/>
      <c r="O96" s="312"/>
      <c r="P96" s="312"/>
      <c r="Q96" s="312"/>
      <c r="R96" s="312"/>
    </row>
    <row r="97" spans="1:18" s="313" customFormat="1" ht="147">
      <c r="A97" s="301">
        <v>7</v>
      </c>
      <c r="B97" s="302" t="s">
        <v>640</v>
      </c>
      <c r="C97" s="303" t="s">
        <v>103</v>
      </c>
      <c r="D97" s="304">
        <v>44642</v>
      </c>
      <c r="E97" s="305" t="s">
        <v>641</v>
      </c>
      <c r="F97" s="306">
        <f>2*22000</f>
        <v>44000</v>
      </c>
      <c r="G97" s="224" t="s">
        <v>528</v>
      </c>
      <c r="H97" s="306">
        <f t="shared" ref="H97" si="12">F97</f>
        <v>44000</v>
      </c>
      <c r="I97" s="236" t="s">
        <v>44</v>
      </c>
      <c r="J97" s="304">
        <v>44649</v>
      </c>
      <c r="K97" s="310" t="s">
        <v>37</v>
      </c>
      <c r="L97" s="304">
        <v>44645</v>
      </c>
      <c r="M97" s="304">
        <v>44645</v>
      </c>
      <c r="N97" s="311"/>
      <c r="O97" s="312"/>
      <c r="P97" s="312"/>
      <c r="Q97" s="312"/>
      <c r="R97" s="312"/>
    </row>
    <row r="98" spans="1:18" s="313" customFormat="1">
      <c r="A98" s="326"/>
      <c r="B98" s="327"/>
      <c r="C98" s="328"/>
      <c r="D98" s="329"/>
      <c r="E98" s="311"/>
      <c r="F98" s="330"/>
      <c r="G98" s="134"/>
      <c r="H98" s="330"/>
      <c r="I98" s="180"/>
      <c r="J98" s="329"/>
      <c r="K98" s="333"/>
      <c r="L98" s="329"/>
      <c r="M98" s="329"/>
      <c r="N98" s="311"/>
      <c r="O98" s="312"/>
      <c r="P98" s="312"/>
      <c r="Q98" s="312"/>
      <c r="R98" s="312"/>
    </row>
    <row r="99" spans="1:18" s="313" customFormat="1">
      <c r="A99" s="326"/>
      <c r="B99" s="327"/>
      <c r="C99" s="328"/>
      <c r="D99" s="329"/>
      <c r="E99" s="311"/>
      <c r="F99" s="330"/>
      <c r="G99" s="134"/>
      <c r="H99" s="330"/>
      <c r="I99" s="180"/>
      <c r="J99" s="329"/>
      <c r="K99" s="333"/>
      <c r="L99" s="329"/>
      <c r="M99" s="329"/>
      <c r="N99" s="311"/>
      <c r="O99" s="312"/>
      <c r="P99" s="312"/>
      <c r="Q99" s="312"/>
      <c r="R99" s="312"/>
    </row>
    <row r="100" spans="1:18" s="313" customFormat="1">
      <c r="A100" s="326"/>
      <c r="B100" s="327"/>
      <c r="C100" s="328"/>
      <c r="D100" s="329"/>
      <c r="E100" s="311"/>
      <c r="F100" s="330"/>
      <c r="G100" s="134"/>
      <c r="H100" s="330"/>
      <c r="I100" s="180"/>
      <c r="J100" s="329"/>
      <c r="K100" s="333"/>
      <c r="L100" s="329"/>
      <c r="M100" s="329"/>
      <c r="N100" s="311"/>
      <c r="O100" s="312"/>
      <c r="P100" s="312"/>
      <c r="Q100" s="312"/>
      <c r="R100" s="312"/>
    </row>
    <row r="101" spans="1:18" s="313" customFormat="1">
      <c r="A101" s="326"/>
      <c r="B101" s="327"/>
      <c r="C101" s="328"/>
      <c r="D101" s="329"/>
      <c r="E101" s="311"/>
      <c r="F101" s="330"/>
      <c r="G101" s="134"/>
      <c r="H101" s="330"/>
      <c r="I101" s="180"/>
      <c r="J101" s="329"/>
      <c r="K101" s="333"/>
      <c r="L101" s="329"/>
      <c r="M101" s="329"/>
      <c r="N101" s="311"/>
      <c r="O101" s="312"/>
      <c r="P101" s="312"/>
      <c r="Q101" s="312"/>
      <c r="R101" s="312"/>
    </row>
    <row r="102" spans="1:18" s="313" customFormat="1">
      <c r="A102" s="326"/>
      <c r="B102" s="327"/>
      <c r="C102" s="328"/>
      <c r="D102" s="329"/>
      <c r="E102" s="311"/>
      <c r="F102" s="330"/>
      <c r="G102" s="134"/>
      <c r="H102" s="330"/>
      <c r="I102" s="180"/>
      <c r="J102" s="329"/>
      <c r="K102" s="333"/>
      <c r="L102" s="329"/>
      <c r="M102" s="329"/>
      <c r="N102" s="311"/>
      <c r="O102" s="312"/>
      <c r="P102" s="312"/>
      <c r="Q102" s="312"/>
      <c r="R102" s="312"/>
    </row>
    <row r="103" spans="1:18" s="313" customFormat="1">
      <c r="A103" s="326"/>
      <c r="B103" s="327"/>
      <c r="C103" s="328"/>
      <c r="D103" s="329"/>
      <c r="E103" s="311"/>
      <c r="F103" s="330"/>
      <c r="G103" s="134"/>
      <c r="H103" s="330"/>
      <c r="I103" s="180"/>
      <c r="J103" s="329"/>
      <c r="K103" s="333"/>
      <c r="L103" s="329"/>
      <c r="M103" s="329"/>
      <c r="N103" s="311"/>
      <c r="O103" s="312"/>
      <c r="P103" s="312"/>
      <c r="Q103" s="312"/>
      <c r="R103" s="312"/>
    </row>
    <row r="104" spans="1:18" s="313" customFormat="1">
      <c r="A104" s="326"/>
      <c r="B104" s="327"/>
      <c r="C104" s="328"/>
      <c r="D104" s="329"/>
      <c r="E104" s="311"/>
      <c r="F104" s="330"/>
      <c r="G104" s="134"/>
      <c r="H104" s="330"/>
      <c r="I104" s="180"/>
      <c r="J104" s="329"/>
      <c r="K104" s="333"/>
      <c r="L104" s="329"/>
      <c r="M104" s="329"/>
      <c r="N104" s="311"/>
      <c r="O104" s="312"/>
      <c r="P104" s="312"/>
      <c r="Q104" s="312"/>
      <c r="R104" s="312"/>
    </row>
    <row r="105" spans="1:18" s="71" customFormat="1">
      <c r="A105" s="529" t="s">
        <v>749</v>
      </c>
      <c r="B105" s="530"/>
      <c r="C105" s="530"/>
      <c r="D105" s="530"/>
      <c r="E105" s="530"/>
      <c r="F105" s="252"/>
      <c r="G105" s="50"/>
      <c r="H105" s="252"/>
      <c r="I105" s="70"/>
      <c r="J105" s="50"/>
      <c r="K105" s="50"/>
      <c r="L105" s="50"/>
      <c r="M105" s="50"/>
      <c r="N105" s="73"/>
      <c r="O105" s="50"/>
      <c r="P105" s="50"/>
      <c r="Q105" s="50"/>
      <c r="R105" s="50"/>
    </row>
    <row r="106" spans="1:18" s="124" customFormat="1" ht="147">
      <c r="A106" s="109">
        <v>1</v>
      </c>
      <c r="B106" s="121" t="s">
        <v>652</v>
      </c>
      <c r="C106" s="107" t="s">
        <v>104</v>
      </c>
      <c r="D106" s="110">
        <v>44658</v>
      </c>
      <c r="E106" s="108" t="s">
        <v>654</v>
      </c>
      <c r="F106" s="123">
        <f>342*31*7.82</f>
        <v>82907.64</v>
      </c>
      <c r="G106" s="356" t="s">
        <v>145</v>
      </c>
      <c r="H106" s="123">
        <f t="shared" ref="H106" si="13">F106</f>
        <v>82907.64</v>
      </c>
      <c r="I106" s="109" t="s">
        <v>34</v>
      </c>
      <c r="J106" s="128">
        <v>44697</v>
      </c>
      <c r="K106" s="122" t="s">
        <v>38</v>
      </c>
      <c r="L106" s="110">
        <v>44662</v>
      </c>
      <c r="M106" s="110">
        <v>44662</v>
      </c>
      <c r="N106" s="242" t="s">
        <v>43</v>
      </c>
      <c r="O106" s="126"/>
      <c r="P106" s="126"/>
      <c r="Q106" s="126"/>
      <c r="R106" s="126"/>
    </row>
    <row r="107" spans="1:18" s="124" customFormat="1" ht="147">
      <c r="A107" s="109">
        <v>2</v>
      </c>
      <c r="B107" s="121" t="s">
        <v>655</v>
      </c>
      <c r="C107" s="107" t="s">
        <v>105</v>
      </c>
      <c r="D107" s="110">
        <v>44659</v>
      </c>
      <c r="E107" s="108" t="s">
        <v>1087</v>
      </c>
      <c r="F107" s="123">
        <f>956*31*7.82</f>
        <v>231753.52000000002</v>
      </c>
      <c r="G107" s="356" t="s">
        <v>145</v>
      </c>
      <c r="H107" s="123">
        <f t="shared" ref="H107" si="14">F107</f>
        <v>231753.52000000002</v>
      </c>
      <c r="I107" s="109" t="s">
        <v>34</v>
      </c>
      <c r="J107" s="128">
        <v>44697</v>
      </c>
      <c r="K107" s="122" t="s">
        <v>38</v>
      </c>
      <c r="L107" s="110">
        <v>44662</v>
      </c>
      <c r="M107" s="110">
        <v>44662</v>
      </c>
      <c r="N107" s="242" t="s">
        <v>43</v>
      </c>
      <c r="O107" s="126"/>
      <c r="P107" s="126"/>
      <c r="Q107" s="126"/>
      <c r="R107" s="126"/>
    </row>
    <row r="108" spans="1:18" s="124" customFormat="1" ht="147">
      <c r="A108" s="109">
        <v>3</v>
      </c>
      <c r="B108" s="121" t="s">
        <v>656</v>
      </c>
      <c r="C108" s="107" t="s">
        <v>106</v>
      </c>
      <c r="D108" s="110">
        <v>44659</v>
      </c>
      <c r="E108" s="108" t="s">
        <v>657</v>
      </c>
      <c r="F108" s="123">
        <f>800*4</f>
        <v>3200</v>
      </c>
      <c r="G108" s="127" t="s">
        <v>615</v>
      </c>
      <c r="H108" s="123">
        <f t="shared" ref="H108:H109" si="15">F108</f>
        <v>3200</v>
      </c>
      <c r="I108" s="109" t="s">
        <v>34</v>
      </c>
      <c r="J108" s="128">
        <v>44671</v>
      </c>
      <c r="K108" s="122" t="s">
        <v>26</v>
      </c>
      <c r="L108" s="110">
        <v>44671</v>
      </c>
      <c r="M108" s="110">
        <v>44671</v>
      </c>
      <c r="N108" s="242" t="s">
        <v>339</v>
      </c>
      <c r="O108" s="126"/>
      <c r="P108" s="126"/>
      <c r="Q108" s="126"/>
      <c r="R108" s="126"/>
    </row>
    <row r="109" spans="1:18" s="313" customFormat="1" ht="147">
      <c r="A109" s="301">
        <v>4</v>
      </c>
      <c r="B109" s="302" t="s">
        <v>682</v>
      </c>
      <c r="C109" s="303" t="s">
        <v>107</v>
      </c>
      <c r="D109" s="304">
        <v>44662</v>
      </c>
      <c r="E109" s="305" t="s">
        <v>683</v>
      </c>
      <c r="F109" s="306">
        <v>47725</v>
      </c>
      <c r="G109" s="127" t="s">
        <v>343</v>
      </c>
      <c r="H109" s="306">
        <f t="shared" si="15"/>
        <v>47725</v>
      </c>
      <c r="I109" s="308" t="s">
        <v>589</v>
      </c>
      <c r="J109" s="309">
        <v>44672</v>
      </c>
      <c r="K109" s="310" t="s">
        <v>26</v>
      </c>
      <c r="L109" s="110">
        <v>44670</v>
      </c>
      <c r="M109" s="110">
        <v>44670</v>
      </c>
      <c r="N109" s="311"/>
      <c r="O109" s="312"/>
      <c r="P109" s="312"/>
      <c r="Q109" s="312"/>
      <c r="R109" s="312"/>
    </row>
    <row r="110" spans="1:18" s="313" customFormat="1">
      <c r="A110" s="326"/>
      <c r="B110" s="327"/>
      <c r="C110" s="328"/>
      <c r="D110" s="329"/>
      <c r="E110" s="311"/>
      <c r="F110" s="330"/>
      <c r="G110" s="134"/>
      <c r="H110" s="330"/>
      <c r="I110" s="379"/>
      <c r="J110" s="332"/>
      <c r="K110" s="333"/>
      <c r="L110" s="174"/>
      <c r="M110" s="174"/>
      <c r="N110" s="311"/>
      <c r="O110" s="312"/>
      <c r="P110" s="312"/>
      <c r="Q110" s="312"/>
      <c r="R110" s="312"/>
    </row>
    <row r="111" spans="1:18" s="313" customFormat="1">
      <c r="A111" s="326"/>
      <c r="B111" s="327"/>
      <c r="C111" s="328"/>
      <c r="D111" s="329"/>
      <c r="E111" s="311"/>
      <c r="F111" s="330"/>
      <c r="G111" s="134"/>
      <c r="H111" s="330"/>
      <c r="I111" s="379"/>
      <c r="J111" s="332"/>
      <c r="K111" s="333"/>
      <c r="L111" s="174"/>
      <c r="M111" s="174"/>
      <c r="N111" s="311"/>
      <c r="O111" s="312"/>
      <c r="P111" s="312"/>
      <c r="Q111" s="312"/>
      <c r="R111" s="312"/>
    </row>
    <row r="112" spans="1:18" s="313" customFormat="1">
      <c r="A112" s="326"/>
      <c r="B112" s="327"/>
      <c r="C112" s="328"/>
      <c r="D112" s="329"/>
      <c r="E112" s="311"/>
      <c r="F112" s="330"/>
      <c r="G112" s="134"/>
      <c r="H112" s="330"/>
      <c r="I112" s="379"/>
      <c r="J112" s="332"/>
      <c r="K112" s="333"/>
      <c r="L112" s="174"/>
      <c r="M112" s="174"/>
      <c r="N112" s="311"/>
      <c r="O112" s="312"/>
      <c r="P112" s="312"/>
      <c r="Q112" s="312"/>
      <c r="R112" s="312"/>
    </row>
    <row r="113" spans="1:18" s="313" customFormat="1">
      <c r="A113" s="326"/>
      <c r="B113" s="327"/>
      <c r="C113" s="328"/>
      <c r="D113" s="329"/>
      <c r="E113" s="311"/>
      <c r="F113" s="330"/>
      <c r="G113" s="134"/>
      <c r="H113" s="330"/>
      <c r="I113" s="379"/>
      <c r="J113" s="332"/>
      <c r="K113" s="333"/>
      <c r="L113" s="174"/>
      <c r="M113" s="174"/>
      <c r="N113" s="311"/>
      <c r="O113" s="312"/>
      <c r="P113" s="312"/>
      <c r="Q113" s="312"/>
      <c r="R113" s="312"/>
    </row>
    <row r="114" spans="1:18" s="313" customFormat="1">
      <c r="A114" s="326"/>
      <c r="B114" s="327"/>
      <c r="C114" s="328"/>
      <c r="D114" s="329"/>
      <c r="E114" s="311"/>
      <c r="F114" s="330"/>
      <c r="G114" s="134"/>
      <c r="H114" s="330"/>
      <c r="I114" s="379"/>
      <c r="J114" s="332"/>
      <c r="K114" s="333"/>
      <c r="L114" s="174"/>
      <c r="M114" s="174"/>
      <c r="N114" s="311"/>
      <c r="O114" s="312"/>
      <c r="P114" s="312"/>
      <c r="Q114" s="312"/>
      <c r="R114" s="312"/>
    </row>
    <row r="115" spans="1:18" s="313" customFormat="1">
      <c r="A115" s="326"/>
      <c r="B115" s="327"/>
      <c r="C115" s="328"/>
      <c r="D115" s="329"/>
      <c r="E115" s="311"/>
      <c r="F115" s="330"/>
      <c r="G115" s="134"/>
      <c r="H115" s="330"/>
      <c r="I115" s="379"/>
      <c r="J115" s="332"/>
      <c r="K115" s="333"/>
      <c r="L115" s="174"/>
      <c r="M115" s="174"/>
      <c r="N115" s="311"/>
      <c r="O115" s="312"/>
      <c r="P115" s="312"/>
      <c r="Q115" s="312"/>
      <c r="R115" s="312"/>
    </row>
    <row r="116" spans="1:18" s="313" customFormat="1">
      <c r="A116" s="326"/>
      <c r="B116" s="327"/>
      <c r="C116" s="328"/>
      <c r="D116" s="329"/>
      <c r="E116" s="311"/>
      <c r="F116" s="330"/>
      <c r="G116" s="134"/>
      <c r="H116" s="330"/>
      <c r="I116" s="379"/>
      <c r="J116" s="332"/>
      <c r="K116" s="333"/>
      <c r="L116" s="174"/>
      <c r="M116" s="174"/>
      <c r="N116" s="311"/>
      <c r="O116" s="312"/>
      <c r="P116" s="312"/>
      <c r="Q116" s="312"/>
      <c r="R116" s="312"/>
    </row>
    <row r="117" spans="1:18" s="313" customFormat="1">
      <c r="A117" s="326"/>
      <c r="B117" s="327"/>
      <c r="C117" s="328"/>
      <c r="D117" s="329"/>
      <c r="E117" s="311"/>
      <c r="F117" s="330"/>
      <c r="G117" s="134"/>
      <c r="H117" s="330"/>
      <c r="I117" s="379"/>
      <c r="J117" s="332"/>
      <c r="K117" s="333"/>
      <c r="L117" s="174"/>
      <c r="M117" s="174"/>
      <c r="N117" s="311"/>
      <c r="O117" s="312"/>
      <c r="P117" s="312"/>
      <c r="Q117" s="312"/>
      <c r="R117" s="312"/>
    </row>
    <row r="118" spans="1:18" s="313" customFormat="1">
      <c r="A118" s="326"/>
      <c r="B118" s="327"/>
      <c r="C118" s="328"/>
      <c r="D118" s="329"/>
      <c r="E118" s="311"/>
      <c r="F118" s="330"/>
      <c r="G118" s="134"/>
      <c r="H118" s="330"/>
      <c r="I118" s="379"/>
      <c r="J118" s="332"/>
      <c r="K118" s="333"/>
      <c r="L118" s="174"/>
      <c r="M118" s="174"/>
      <c r="N118" s="311"/>
      <c r="O118" s="312"/>
      <c r="P118" s="312"/>
      <c r="Q118" s="312"/>
      <c r="R118" s="312"/>
    </row>
    <row r="119" spans="1:18" s="313" customFormat="1">
      <c r="A119" s="326"/>
      <c r="B119" s="327"/>
      <c r="C119" s="328"/>
      <c r="D119" s="329"/>
      <c r="E119" s="311"/>
      <c r="F119" s="330"/>
      <c r="G119" s="134"/>
      <c r="H119" s="330"/>
      <c r="I119" s="379"/>
      <c r="J119" s="332"/>
      <c r="K119" s="333"/>
      <c r="L119" s="174"/>
      <c r="M119" s="174"/>
      <c r="N119" s="311"/>
      <c r="O119" s="312"/>
      <c r="P119" s="312"/>
      <c r="Q119" s="312"/>
      <c r="R119" s="312"/>
    </row>
    <row r="120" spans="1:18" s="313" customFormat="1">
      <c r="A120" s="326"/>
      <c r="B120" s="327"/>
      <c r="C120" s="328"/>
      <c r="D120" s="329"/>
      <c r="E120" s="311"/>
      <c r="F120" s="330"/>
      <c r="G120" s="134"/>
      <c r="H120" s="330"/>
      <c r="I120" s="379"/>
      <c r="J120" s="332"/>
      <c r="K120" s="333"/>
      <c r="L120" s="174"/>
      <c r="M120" s="174"/>
      <c r="N120" s="311"/>
      <c r="O120" s="312"/>
      <c r="P120" s="312"/>
      <c r="Q120" s="312"/>
      <c r="R120" s="312"/>
    </row>
    <row r="121" spans="1:18" s="313" customFormat="1">
      <c r="A121" s="326"/>
      <c r="B121" s="327"/>
      <c r="C121" s="328"/>
      <c r="D121" s="329"/>
      <c r="E121" s="311"/>
      <c r="F121" s="330"/>
      <c r="G121" s="134"/>
      <c r="H121" s="330"/>
      <c r="I121" s="379"/>
      <c r="J121" s="332"/>
      <c r="K121" s="333"/>
      <c r="L121" s="174"/>
      <c r="M121" s="174"/>
      <c r="N121" s="311"/>
      <c r="O121" s="312"/>
      <c r="P121" s="312"/>
      <c r="Q121" s="312"/>
      <c r="R121" s="312"/>
    </row>
    <row r="122" spans="1:18" s="313" customFormat="1">
      <c r="A122" s="326"/>
      <c r="B122" s="327"/>
      <c r="C122" s="328"/>
      <c r="D122" s="329"/>
      <c r="E122" s="311"/>
      <c r="F122" s="330"/>
      <c r="G122" s="134"/>
      <c r="H122" s="330"/>
      <c r="I122" s="379"/>
      <c r="J122" s="332"/>
      <c r="K122" s="333"/>
      <c r="L122" s="174"/>
      <c r="M122" s="174"/>
      <c r="N122" s="311"/>
      <c r="O122" s="312"/>
      <c r="P122" s="312"/>
      <c r="Q122" s="312"/>
      <c r="R122" s="312"/>
    </row>
    <row r="123" spans="1:18" s="313" customFormat="1">
      <c r="A123" s="326"/>
      <c r="B123" s="327"/>
      <c r="C123" s="328"/>
      <c r="D123" s="329"/>
      <c r="E123" s="311"/>
      <c r="F123" s="330"/>
      <c r="G123" s="134"/>
      <c r="H123" s="330"/>
      <c r="I123" s="379"/>
      <c r="J123" s="332"/>
      <c r="K123" s="333"/>
      <c r="L123" s="174"/>
      <c r="M123" s="174"/>
      <c r="N123" s="311"/>
      <c r="O123" s="312"/>
      <c r="P123" s="312"/>
      <c r="Q123" s="312"/>
      <c r="R123" s="312"/>
    </row>
    <row r="124" spans="1:18" s="313" customFormat="1">
      <c r="A124" s="326"/>
      <c r="B124" s="327"/>
      <c r="C124" s="328"/>
      <c r="D124" s="329"/>
      <c r="E124" s="311"/>
      <c r="F124" s="330"/>
      <c r="G124" s="134"/>
      <c r="H124" s="330"/>
      <c r="I124" s="379"/>
      <c r="J124" s="332"/>
      <c r="K124" s="333"/>
      <c r="L124" s="174"/>
      <c r="M124" s="174"/>
      <c r="N124" s="311"/>
      <c r="O124" s="312"/>
      <c r="P124" s="312"/>
      <c r="Q124" s="312"/>
      <c r="R124" s="312"/>
    </row>
    <row r="125" spans="1:18" s="313" customFormat="1">
      <c r="A125" s="326"/>
      <c r="B125" s="327"/>
      <c r="C125" s="328"/>
      <c r="D125" s="329"/>
      <c r="E125" s="311"/>
      <c r="F125" s="330"/>
      <c r="G125" s="134"/>
      <c r="H125" s="330"/>
      <c r="I125" s="379"/>
      <c r="J125" s="332"/>
      <c r="K125" s="333"/>
      <c r="L125" s="174"/>
      <c r="M125" s="174"/>
      <c r="N125" s="311"/>
      <c r="O125" s="312"/>
      <c r="P125" s="312"/>
      <c r="Q125" s="312"/>
      <c r="R125" s="312"/>
    </row>
    <row r="126" spans="1:18" s="313" customFormat="1">
      <c r="A126" s="326"/>
      <c r="B126" s="327"/>
      <c r="C126" s="328"/>
      <c r="D126" s="329"/>
      <c r="E126" s="311"/>
      <c r="F126" s="330"/>
      <c r="G126" s="134"/>
      <c r="H126" s="330"/>
      <c r="I126" s="379"/>
      <c r="J126" s="332"/>
      <c r="K126" s="333"/>
      <c r="L126" s="174"/>
      <c r="M126" s="174"/>
      <c r="N126" s="311"/>
      <c r="O126" s="312"/>
      <c r="P126" s="312"/>
      <c r="Q126" s="312"/>
      <c r="R126" s="312"/>
    </row>
    <row r="127" spans="1:18" s="71" customFormat="1">
      <c r="A127" s="529" t="s">
        <v>856</v>
      </c>
      <c r="B127" s="530"/>
      <c r="C127" s="530"/>
      <c r="D127" s="530"/>
      <c r="E127" s="530"/>
      <c r="F127" s="252"/>
      <c r="G127" s="50"/>
      <c r="H127" s="252"/>
      <c r="I127" s="70"/>
      <c r="J127" s="50"/>
      <c r="K127" s="50"/>
      <c r="L127" s="50"/>
      <c r="M127" s="50"/>
      <c r="N127" s="73"/>
      <c r="O127" s="50"/>
      <c r="P127" s="50"/>
      <c r="Q127" s="50"/>
      <c r="R127" s="50"/>
    </row>
    <row r="128" spans="1:18" s="313" customFormat="1" ht="168">
      <c r="A128" s="301">
        <v>1</v>
      </c>
      <c r="B128" s="302" t="s">
        <v>757</v>
      </c>
      <c r="C128" s="303" t="s">
        <v>142</v>
      </c>
      <c r="D128" s="304">
        <v>44692</v>
      </c>
      <c r="E128" s="305" t="s">
        <v>760</v>
      </c>
      <c r="F128" s="306">
        <f>5000*31.5</f>
        <v>157500</v>
      </c>
      <c r="G128" s="235" t="s">
        <v>758</v>
      </c>
      <c r="H128" s="306">
        <f t="shared" ref="H128" si="16">F128</f>
        <v>157500</v>
      </c>
      <c r="I128" s="308" t="s">
        <v>759</v>
      </c>
      <c r="J128" s="309">
        <v>44701</v>
      </c>
      <c r="K128" s="310" t="s">
        <v>61</v>
      </c>
      <c r="L128" s="309">
        <v>44693</v>
      </c>
      <c r="M128" s="309">
        <v>44693</v>
      </c>
      <c r="N128" s="311"/>
      <c r="O128" s="312"/>
      <c r="P128" s="312"/>
      <c r="Q128" s="312"/>
      <c r="R128" s="312"/>
    </row>
    <row r="129" spans="1:18" s="313" customFormat="1" ht="147">
      <c r="A129" s="301">
        <v>2</v>
      </c>
      <c r="B129" s="302" t="s">
        <v>764</v>
      </c>
      <c r="C129" s="303" t="s">
        <v>130</v>
      </c>
      <c r="D129" s="304">
        <v>44692</v>
      </c>
      <c r="E129" s="402" t="s">
        <v>899</v>
      </c>
      <c r="F129" s="306">
        <f>300*16</f>
        <v>4800</v>
      </c>
      <c r="G129" s="235" t="s">
        <v>528</v>
      </c>
      <c r="H129" s="306">
        <f t="shared" ref="H129" si="17">F129</f>
        <v>4800</v>
      </c>
      <c r="I129" s="308" t="s">
        <v>361</v>
      </c>
      <c r="J129" s="309">
        <v>44701</v>
      </c>
      <c r="K129" s="310" t="s">
        <v>115</v>
      </c>
      <c r="L129" s="309">
        <v>44701</v>
      </c>
      <c r="M129" s="309">
        <v>44701</v>
      </c>
      <c r="N129" s="311"/>
      <c r="O129" s="312"/>
      <c r="P129" s="312"/>
      <c r="Q129" s="312"/>
      <c r="R129" s="312"/>
    </row>
    <row r="130" spans="1:18" s="124" customFormat="1" ht="126">
      <c r="A130" s="229">
        <v>3</v>
      </c>
      <c r="B130" s="230" t="s">
        <v>782</v>
      </c>
      <c r="C130" s="231" t="s">
        <v>131</v>
      </c>
      <c r="D130" s="232">
        <v>44700</v>
      </c>
      <c r="E130" s="233" t="s">
        <v>783</v>
      </c>
      <c r="F130" s="234">
        <v>75460</v>
      </c>
      <c r="G130" s="396" t="s">
        <v>784</v>
      </c>
      <c r="H130" s="234">
        <f t="shared" ref="H130" si="18">F130</f>
        <v>75460</v>
      </c>
      <c r="I130" s="236" t="s">
        <v>361</v>
      </c>
      <c r="J130" s="237">
        <v>44707</v>
      </c>
      <c r="K130" s="310" t="s">
        <v>61</v>
      </c>
      <c r="L130" s="309">
        <v>44704</v>
      </c>
      <c r="M130" s="309">
        <v>44704</v>
      </c>
      <c r="N130" s="120"/>
      <c r="O130" s="126"/>
      <c r="P130" s="126"/>
      <c r="Q130" s="126"/>
      <c r="R130" s="126"/>
    </row>
    <row r="131" spans="1:18" s="124" customFormat="1" ht="126">
      <c r="A131" s="229">
        <v>4</v>
      </c>
      <c r="B131" s="230" t="s">
        <v>815</v>
      </c>
      <c r="C131" s="231" t="s">
        <v>132</v>
      </c>
      <c r="D131" s="232">
        <v>44707</v>
      </c>
      <c r="E131" s="233" t="s">
        <v>816</v>
      </c>
      <c r="F131" s="234">
        <v>1540</v>
      </c>
      <c r="G131" s="235" t="s">
        <v>817</v>
      </c>
      <c r="H131" s="234">
        <f t="shared" ref="H131:H134" si="19">F131</f>
        <v>1540</v>
      </c>
      <c r="I131" s="236" t="s">
        <v>361</v>
      </c>
      <c r="J131" s="237">
        <v>44714</v>
      </c>
      <c r="K131" s="256" t="s">
        <v>26</v>
      </c>
      <c r="L131" s="237">
        <v>44714</v>
      </c>
      <c r="M131" s="237">
        <v>44714</v>
      </c>
      <c r="N131" s="120"/>
      <c r="O131" s="126"/>
      <c r="P131" s="126"/>
      <c r="Q131" s="126"/>
      <c r="R131" s="126"/>
    </row>
    <row r="132" spans="1:18" s="124" customFormat="1">
      <c r="A132" s="227"/>
      <c r="B132" s="149"/>
      <c r="C132" s="151"/>
      <c r="D132" s="174"/>
      <c r="E132" s="120"/>
      <c r="F132" s="175"/>
      <c r="G132" s="134"/>
      <c r="H132" s="175"/>
      <c r="I132" s="180"/>
      <c r="J132" s="176"/>
      <c r="K132" s="177"/>
      <c r="L132" s="174"/>
      <c r="M132" s="174"/>
      <c r="N132" s="120"/>
      <c r="O132" s="126"/>
      <c r="P132" s="126"/>
      <c r="Q132" s="126"/>
      <c r="R132" s="126"/>
    </row>
    <row r="133" spans="1:18" s="71" customFormat="1">
      <c r="A133" s="529" t="s">
        <v>916</v>
      </c>
      <c r="B133" s="530"/>
      <c r="C133" s="530"/>
      <c r="D133" s="530"/>
      <c r="E133" s="530"/>
      <c r="F133" s="252"/>
      <c r="G133" s="50"/>
      <c r="H133" s="252"/>
      <c r="I133" s="70"/>
      <c r="J133" s="50"/>
      <c r="K133" s="50"/>
      <c r="L133" s="50"/>
      <c r="M133" s="50"/>
      <c r="N133" s="73"/>
      <c r="O133" s="50"/>
      <c r="P133" s="50"/>
      <c r="Q133" s="50"/>
      <c r="R133" s="50"/>
    </row>
    <row r="134" spans="1:18" s="124" customFormat="1" ht="168">
      <c r="A134" s="229">
        <v>1</v>
      </c>
      <c r="B134" s="230" t="s">
        <v>857</v>
      </c>
      <c r="C134" s="231" t="s">
        <v>133</v>
      </c>
      <c r="D134" s="232">
        <v>44714</v>
      </c>
      <c r="E134" s="400" t="s">
        <v>858</v>
      </c>
      <c r="F134" s="234">
        <f>1004*13*7.82+1004*82*6.58</f>
        <v>643784.88</v>
      </c>
      <c r="G134" s="401" t="s">
        <v>908</v>
      </c>
      <c r="H134" s="234">
        <f t="shared" si="19"/>
        <v>643784.88</v>
      </c>
      <c r="I134" s="229" t="s">
        <v>34</v>
      </c>
      <c r="J134" s="237">
        <v>44834</v>
      </c>
      <c r="K134" s="256" t="s">
        <v>862</v>
      </c>
      <c r="L134" s="237">
        <v>44714</v>
      </c>
      <c r="M134" s="237" t="s">
        <v>917</v>
      </c>
      <c r="N134" s="120"/>
      <c r="O134" s="126"/>
      <c r="P134" s="126"/>
      <c r="Q134" s="126"/>
      <c r="R134" s="126"/>
    </row>
    <row r="135" spans="1:18" s="124" customFormat="1" ht="168">
      <c r="A135" s="416">
        <v>2</v>
      </c>
      <c r="B135" s="417" t="s">
        <v>860</v>
      </c>
      <c r="C135" s="418" t="s">
        <v>134</v>
      </c>
      <c r="D135" s="419">
        <v>44714</v>
      </c>
      <c r="E135" s="420" t="s">
        <v>863</v>
      </c>
      <c r="F135" s="421">
        <f>321*13*7.82+321*82*6.58</f>
        <v>205831.62</v>
      </c>
      <c r="G135" s="422" t="s">
        <v>859</v>
      </c>
      <c r="H135" s="421">
        <f t="shared" ref="H135" si="20">F135</f>
        <v>205831.62</v>
      </c>
      <c r="I135" s="416" t="s">
        <v>34</v>
      </c>
      <c r="J135" s="423">
        <v>44834</v>
      </c>
      <c r="K135" s="424" t="s">
        <v>861</v>
      </c>
      <c r="L135" s="414">
        <v>44714</v>
      </c>
      <c r="M135" s="414" t="s">
        <v>918</v>
      </c>
      <c r="N135" s="120"/>
      <c r="O135" s="126"/>
      <c r="P135" s="126"/>
      <c r="Q135" s="126"/>
      <c r="R135" s="126"/>
    </row>
    <row r="136" spans="1:18" s="124" customFormat="1" ht="112.5">
      <c r="A136" s="229">
        <v>3</v>
      </c>
      <c r="B136" s="230" t="s">
        <v>884</v>
      </c>
      <c r="C136" s="231" t="s">
        <v>135</v>
      </c>
      <c r="D136" s="232">
        <v>44732</v>
      </c>
      <c r="E136" s="305" t="s">
        <v>885</v>
      </c>
      <c r="F136" s="306">
        <v>73720</v>
      </c>
      <c r="G136" s="254" t="s">
        <v>886</v>
      </c>
      <c r="H136" s="234">
        <f t="shared" ref="H136" si="21">F136</f>
        <v>73720</v>
      </c>
      <c r="I136" s="229" t="s">
        <v>34</v>
      </c>
      <c r="J136" s="237">
        <v>44739</v>
      </c>
      <c r="K136" s="256" t="s">
        <v>26</v>
      </c>
      <c r="L136" s="237">
        <v>44739</v>
      </c>
      <c r="M136" s="237">
        <v>44739</v>
      </c>
      <c r="N136" s="120"/>
      <c r="O136" s="126"/>
      <c r="P136" s="126"/>
      <c r="Q136" s="126"/>
      <c r="R136" s="126"/>
    </row>
    <row r="137" spans="1:18" s="124" customFormat="1" ht="147">
      <c r="A137" s="229">
        <v>4</v>
      </c>
      <c r="B137" s="230" t="s">
        <v>887</v>
      </c>
      <c r="C137" s="231" t="s">
        <v>136</v>
      </c>
      <c r="D137" s="232">
        <v>44734</v>
      </c>
      <c r="E137" s="398" t="s">
        <v>888</v>
      </c>
      <c r="F137" s="306">
        <v>15270</v>
      </c>
      <c r="G137" s="235" t="s">
        <v>370</v>
      </c>
      <c r="H137" s="234">
        <f t="shared" ref="H137" si="22">F137</f>
        <v>15270</v>
      </c>
      <c r="I137" s="229" t="s">
        <v>34</v>
      </c>
      <c r="J137" s="237">
        <v>44741</v>
      </c>
      <c r="K137" s="256" t="s">
        <v>38</v>
      </c>
      <c r="L137" s="414">
        <v>44741</v>
      </c>
      <c r="M137" s="414">
        <v>44741</v>
      </c>
      <c r="N137" s="120"/>
      <c r="O137" s="126"/>
      <c r="P137" s="126"/>
      <c r="Q137" s="126"/>
      <c r="R137" s="126"/>
    </row>
    <row r="138" spans="1:18" s="124" customFormat="1" ht="147">
      <c r="A138" s="229">
        <v>5</v>
      </c>
      <c r="B138" s="230" t="s">
        <v>889</v>
      </c>
      <c r="C138" s="231" t="s">
        <v>137</v>
      </c>
      <c r="D138" s="232">
        <v>44734</v>
      </c>
      <c r="E138" s="399" t="s">
        <v>890</v>
      </c>
      <c r="F138" s="306">
        <f>67260+18600</f>
        <v>85860</v>
      </c>
      <c r="G138" s="235" t="s">
        <v>370</v>
      </c>
      <c r="H138" s="234">
        <f t="shared" ref="H138" si="23">F138</f>
        <v>85860</v>
      </c>
      <c r="I138" s="229" t="s">
        <v>34</v>
      </c>
      <c r="J138" s="237">
        <v>44741</v>
      </c>
      <c r="K138" s="256" t="s">
        <v>26</v>
      </c>
      <c r="L138" s="414">
        <v>44741</v>
      </c>
      <c r="M138" s="414">
        <v>44741</v>
      </c>
      <c r="N138" s="120"/>
      <c r="O138" s="126"/>
      <c r="P138" s="126"/>
      <c r="Q138" s="126"/>
      <c r="R138" s="126"/>
    </row>
    <row r="139" spans="1:18" s="124" customFormat="1" ht="105">
      <c r="A139" s="229">
        <v>6</v>
      </c>
      <c r="B139" s="230" t="s">
        <v>891</v>
      </c>
      <c r="C139" s="231" t="s">
        <v>139</v>
      </c>
      <c r="D139" s="232">
        <v>44734</v>
      </c>
      <c r="E139" s="399" t="s">
        <v>892</v>
      </c>
      <c r="F139" s="306">
        <f>100*550</f>
        <v>55000</v>
      </c>
      <c r="G139" s="235" t="s">
        <v>893</v>
      </c>
      <c r="H139" s="234">
        <f t="shared" ref="H139" si="24">F139</f>
        <v>55000</v>
      </c>
      <c r="I139" s="229" t="s">
        <v>34</v>
      </c>
      <c r="J139" s="237">
        <v>44741</v>
      </c>
      <c r="K139" s="256" t="s">
        <v>37</v>
      </c>
      <c r="L139" s="414">
        <v>44741</v>
      </c>
      <c r="M139" s="414">
        <v>44741</v>
      </c>
      <c r="N139" s="120"/>
      <c r="O139" s="126"/>
      <c r="P139" s="126"/>
      <c r="Q139" s="126"/>
      <c r="R139" s="126"/>
    </row>
    <row r="140" spans="1:18" s="124" customFormat="1" ht="189">
      <c r="A140" s="229">
        <v>7</v>
      </c>
      <c r="B140" s="230" t="s">
        <v>900</v>
      </c>
      <c r="C140" s="231" t="s">
        <v>140</v>
      </c>
      <c r="D140" s="232">
        <v>44739</v>
      </c>
      <c r="E140" s="233" t="s">
        <v>530</v>
      </c>
      <c r="F140" s="234">
        <v>23296</v>
      </c>
      <c r="G140" s="235" t="s">
        <v>377</v>
      </c>
      <c r="H140" s="234">
        <f t="shared" ref="H140" si="25">F140</f>
        <v>23296</v>
      </c>
      <c r="I140" s="229" t="s">
        <v>34</v>
      </c>
      <c r="J140" s="237">
        <v>44746</v>
      </c>
      <c r="K140" s="256" t="s">
        <v>1145</v>
      </c>
      <c r="L140" s="237">
        <v>44741</v>
      </c>
      <c r="M140" s="237">
        <v>44741</v>
      </c>
      <c r="N140" s="120"/>
      <c r="O140" s="126"/>
      <c r="P140" s="126"/>
      <c r="Q140" s="126"/>
      <c r="R140" s="126"/>
    </row>
    <row r="141" spans="1:18" s="124" customFormat="1" ht="147">
      <c r="A141" s="393">
        <v>8</v>
      </c>
      <c r="B141" s="389" t="s">
        <v>901</v>
      </c>
      <c r="C141" s="391" t="s">
        <v>141</v>
      </c>
      <c r="D141" s="411">
        <v>44739</v>
      </c>
      <c r="E141" s="212" t="s">
        <v>1144</v>
      </c>
      <c r="F141" s="412">
        <f>27900*2</f>
        <v>55800</v>
      </c>
      <c r="G141" s="413" t="s">
        <v>907</v>
      </c>
      <c r="H141" s="412">
        <f t="shared" ref="H141" si="26">F141</f>
        <v>55800</v>
      </c>
      <c r="I141" s="393" t="s">
        <v>34</v>
      </c>
      <c r="J141" s="414">
        <v>44746</v>
      </c>
      <c r="K141" s="415" t="s">
        <v>38</v>
      </c>
      <c r="L141" s="414">
        <v>44741</v>
      </c>
      <c r="M141" s="414">
        <v>44741</v>
      </c>
      <c r="N141" s="120"/>
      <c r="O141" s="126"/>
      <c r="P141" s="126"/>
      <c r="Q141" s="126"/>
      <c r="R141" s="126"/>
    </row>
    <row r="142" spans="1:18" s="124" customFormat="1" ht="126">
      <c r="A142" s="229">
        <v>9</v>
      </c>
      <c r="B142" s="230" t="s">
        <v>902</v>
      </c>
      <c r="C142" s="231" t="s">
        <v>143</v>
      </c>
      <c r="D142" s="232">
        <v>44740</v>
      </c>
      <c r="E142" s="233" t="s">
        <v>903</v>
      </c>
      <c r="F142" s="234">
        <f>2000*110</f>
        <v>220000</v>
      </c>
      <c r="G142" s="253" t="s">
        <v>904</v>
      </c>
      <c r="H142" s="234">
        <f t="shared" ref="H142" si="27">F142</f>
        <v>220000</v>
      </c>
      <c r="I142" s="256" t="s">
        <v>905</v>
      </c>
      <c r="J142" s="237">
        <v>44747</v>
      </c>
      <c r="K142" s="256" t="s">
        <v>26</v>
      </c>
      <c r="L142" s="237">
        <v>44741</v>
      </c>
      <c r="M142" s="237">
        <v>44741</v>
      </c>
      <c r="N142" s="120"/>
      <c r="O142" s="126"/>
      <c r="P142" s="126"/>
      <c r="Q142" s="126"/>
      <c r="R142" s="126"/>
    </row>
    <row r="143" spans="1:18" s="124" customFormat="1">
      <c r="A143" s="227"/>
      <c r="B143" s="149"/>
      <c r="C143" s="151"/>
      <c r="D143" s="174"/>
      <c r="E143" s="120"/>
      <c r="F143" s="175"/>
      <c r="G143" s="179"/>
      <c r="H143" s="175"/>
      <c r="I143" s="177"/>
      <c r="J143" s="176"/>
      <c r="K143" s="177"/>
      <c r="L143" s="176"/>
      <c r="M143" s="176"/>
      <c r="N143" s="120"/>
      <c r="O143" s="126"/>
      <c r="P143" s="126"/>
      <c r="Q143" s="126"/>
      <c r="R143" s="126"/>
    </row>
    <row r="144" spans="1:18" s="124" customFormat="1">
      <c r="A144" s="227"/>
      <c r="B144" s="149"/>
      <c r="C144" s="151"/>
      <c r="D144" s="174"/>
      <c r="E144" s="120"/>
      <c r="F144" s="175"/>
      <c r="G144" s="179"/>
      <c r="H144" s="175"/>
      <c r="I144" s="177"/>
      <c r="J144" s="176"/>
      <c r="K144" s="177"/>
      <c r="L144" s="176"/>
      <c r="M144" s="176"/>
      <c r="N144" s="120"/>
      <c r="O144" s="126"/>
      <c r="P144" s="126"/>
      <c r="Q144" s="126"/>
      <c r="R144" s="126"/>
    </row>
    <row r="145" spans="1:18" s="124" customFormat="1">
      <c r="A145" s="227"/>
      <c r="B145" s="149"/>
      <c r="C145" s="151"/>
      <c r="D145" s="174"/>
      <c r="E145" s="120"/>
      <c r="F145" s="175"/>
      <c r="G145" s="179"/>
      <c r="H145" s="175"/>
      <c r="I145" s="177"/>
      <c r="J145" s="176"/>
      <c r="K145" s="177"/>
      <c r="L145" s="176"/>
      <c r="M145" s="176"/>
      <c r="N145" s="120"/>
      <c r="O145" s="126"/>
      <c r="P145" s="126"/>
      <c r="Q145" s="126"/>
      <c r="R145" s="126"/>
    </row>
    <row r="146" spans="1:18" s="124" customFormat="1">
      <c r="A146" s="227"/>
      <c r="B146" s="149"/>
      <c r="C146" s="151"/>
      <c r="D146" s="174"/>
      <c r="E146" s="120"/>
      <c r="F146" s="175"/>
      <c r="G146" s="179"/>
      <c r="H146" s="175"/>
      <c r="I146" s="177"/>
      <c r="J146" s="176"/>
      <c r="K146" s="177"/>
      <c r="L146" s="176"/>
      <c r="M146" s="176"/>
      <c r="N146" s="120"/>
      <c r="O146" s="126"/>
      <c r="P146" s="126"/>
      <c r="Q146" s="126"/>
      <c r="R146" s="126"/>
    </row>
    <row r="147" spans="1:18" s="124" customFormat="1">
      <c r="A147" s="227"/>
      <c r="B147" s="149"/>
      <c r="C147" s="151"/>
      <c r="D147" s="174"/>
      <c r="E147" s="120"/>
      <c r="F147" s="175"/>
      <c r="G147" s="179"/>
      <c r="H147" s="175"/>
      <c r="I147" s="177"/>
      <c r="J147" s="176"/>
      <c r="K147" s="177"/>
      <c r="L147" s="176"/>
      <c r="M147" s="176"/>
      <c r="N147" s="120"/>
      <c r="O147" s="126"/>
      <c r="P147" s="126"/>
      <c r="Q147" s="126"/>
      <c r="R147" s="126"/>
    </row>
    <row r="148" spans="1:18" s="124" customFormat="1">
      <c r="A148" s="227"/>
      <c r="B148" s="149"/>
      <c r="C148" s="151"/>
      <c r="D148" s="174"/>
      <c r="E148" s="120"/>
      <c r="F148" s="175"/>
      <c r="G148" s="179"/>
      <c r="H148" s="175"/>
      <c r="I148" s="177"/>
      <c r="J148" s="176"/>
      <c r="K148" s="177"/>
      <c r="L148" s="176"/>
      <c r="M148" s="176"/>
      <c r="N148" s="120"/>
      <c r="O148" s="126"/>
      <c r="P148" s="126"/>
      <c r="Q148" s="126"/>
      <c r="R148" s="126"/>
    </row>
    <row r="149" spans="1:18" s="124" customFormat="1">
      <c r="A149" s="227"/>
      <c r="B149" s="149"/>
      <c r="C149" s="151"/>
      <c r="D149" s="174"/>
      <c r="E149" s="120"/>
      <c r="F149" s="175"/>
      <c r="G149" s="179"/>
      <c r="H149" s="175"/>
      <c r="I149" s="177"/>
      <c r="J149" s="176"/>
      <c r="K149" s="177"/>
      <c r="L149" s="176"/>
      <c r="M149" s="176"/>
      <c r="N149" s="120"/>
      <c r="O149" s="126"/>
      <c r="P149" s="126"/>
      <c r="Q149" s="126"/>
      <c r="R149" s="126"/>
    </row>
    <row r="150" spans="1:18" s="124" customFormat="1">
      <c r="A150" s="227"/>
      <c r="B150" s="149"/>
      <c r="C150" s="151"/>
      <c r="D150" s="174"/>
      <c r="E150" s="120"/>
      <c r="F150" s="175"/>
      <c r="G150" s="179"/>
      <c r="H150" s="175"/>
      <c r="I150" s="177"/>
      <c r="J150" s="176"/>
      <c r="K150" s="177"/>
      <c r="L150" s="176"/>
      <c r="M150" s="176"/>
      <c r="N150" s="120"/>
      <c r="O150" s="126"/>
      <c r="P150" s="126"/>
      <c r="Q150" s="126"/>
      <c r="R150" s="126"/>
    </row>
    <row r="151" spans="1:18" s="124" customFormat="1">
      <c r="A151" s="227"/>
      <c r="B151" s="149"/>
      <c r="C151" s="151"/>
      <c r="D151" s="174"/>
      <c r="E151" s="120"/>
      <c r="F151" s="175"/>
      <c r="G151" s="179"/>
      <c r="H151" s="175"/>
      <c r="I151" s="177"/>
      <c r="J151" s="176"/>
      <c r="K151" s="177"/>
      <c r="L151" s="176"/>
      <c r="M151" s="176"/>
      <c r="N151" s="120"/>
      <c r="O151" s="126"/>
      <c r="P151" s="126"/>
      <c r="Q151" s="126"/>
      <c r="R151" s="126"/>
    </row>
    <row r="152" spans="1:18" s="124" customFormat="1">
      <c r="A152" s="227"/>
      <c r="B152" s="149"/>
      <c r="C152" s="151"/>
      <c r="D152" s="174"/>
      <c r="E152" s="120"/>
      <c r="F152" s="175"/>
      <c r="G152" s="179"/>
      <c r="H152" s="175"/>
      <c r="I152" s="177"/>
      <c r="J152" s="176"/>
      <c r="K152" s="177"/>
      <c r="L152" s="176"/>
      <c r="M152" s="176"/>
      <c r="N152" s="120"/>
      <c r="O152" s="126"/>
      <c r="P152" s="126"/>
      <c r="Q152" s="126"/>
      <c r="R152" s="126"/>
    </row>
    <row r="153" spans="1:18" s="124" customFormat="1">
      <c r="A153" s="227"/>
      <c r="B153" s="149"/>
      <c r="C153" s="151"/>
      <c r="D153" s="174"/>
      <c r="E153" s="120"/>
      <c r="F153" s="175"/>
      <c r="G153" s="179"/>
      <c r="H153" s="175"/>
      <c r="I153" s="177"/>
      <c r="J153" s="176"/>
      <c r="K153" s="177"/>
      <c r="L153" s="176"/>
      <c r="M153" s="176"/>
      <c r="N153" s="120"/>
      <c r="O153" s="126"/>
      <c r="P153" s="126"/>
      <c r="Q153" s="126"/>
      <c r="R153" s="126"/>
    </row>
    <row r="154" spans="1:18" s="124" customFormat="1">
      <c r="A154" s="227"/>
      <c r="B154" s="149"/>
      <c r="C154" s="151"/>
      <c r="D154" s="174"/>
      <c r="E154" s="120"/>
      <c r="F154" s="175"/>
      <c r="G154" s="179"/>
      <c r="H154" s="175"/>
      <c r="I154" s="177"/>
      <c r="J154" s="176"/>
      <c r="K154" s="177"/>
      <c r="L154" s="176"/>
      <c r="M154" s="176"/>
      <c r="N154" s="120"/>
      <c r="O154" s="126"/>
      <c r="P154" s="126"/>
      <c r="Q154" s="126"/>
      <c r="R154" s="126"/>
    </row>
    <row r="155" spans="1:18" s="71" customFormat="1">
      <c r="A155" s="529" t="s">
        <v>1059</v>
      </c>
      <c r="B155" s="530"/>
      <c r="C155" s="530"/>
      <c r="D155" s="530"/>
      <c r="E155" s="530"/>
      <c r="F155" s="252"/>
      <c r="G155" s="50"/>
      <c r="H155" s="252"/>
      <c r="I155" s="70"/>
      <c r="J155" s="50"/>
      <c r="K155" s="50"/>
      <c r="L155" s="50"/>
      <c r="M155" s="50"/>
      <c r="N155" s="73"/>
      <c r="O155" s="50"/>
      <c r="P155" s="50"/>
      <c r="Q155" s="50"/>
      <c r="R155" s="50"/>
    </row>
    <row r="156" spans="1:18" s="313" customFormat="1" ht="126">
      <c r="A156" s="301">
        <v>1</v>
      </c>
      <c r="B156" s="302" t="s">
        <v>924</v>
      </c>
      <c r="C156" s="303" t="s">
        <v>153</v>
      </c>
      <c r="D156" s="304">
        <v>44746</v>
      </c>
      <c r="E156" s="305" t="s">
        <v>925</v>
      </c>
      <c r="F156" s="306">
        <v>34945</v>
      </c>
      <c r="G156" s="235" t="s">
        <v>926</v>
      </c>
      <c r="H156" s="306">
        <f t="shared" ref="H156" si="28">F156</f>
        <v>34945</v>
      </c>
      <c r="I156" s="310" t="s">
        <v>905</v>
      </c>
      <c r="J156" s="309">
        <v>44753</v>
      </c>
      <c r="K156" s="310" t="s">
        <v>26</v>
      </c>
      <c r="L156" s="309">
        <v>44747</v>
      </c>
      <c r="M156" s="309">
        <v>44747</v>
      </c>
      <c r="N156" s="311"/>
      <c r="O156" s="312"/>
      <c r="P156" s="312"/>
      <c r="Q156" s="312"/>
      <c r="R156" s="312"/>
    </row>
    <row r="157" spans="1:18" s="313" customFormat="1" ht="147">
      <c r="A157" s="301">
        <v>2</v>
      </c>
      <c r="B157" s="302" t="s">
        <v>927</v>
      </c>
      <c r="C157" s="303" t="s">
        <v>154</v>
      </c>
      <c r="D157" s="304">
        <v>44746</v>
      </c>
      <c r="E157" s="305" t="s">
        <v>928</v>
      </c>
      <c r="F157" s="306">
        <v>149710</v>
      </c>
      <c r="G157" s="235" t="s">
        <v>343</v>
      </c>
      <c r="H157" s="306">
        <f t="shared" ref="H157" si="29">F157</f>
        <v>149710</v>
      </c>
      <c r="I157" s="310" t="s">
        <v>905</v>
      </c>
      <c r="J157" s="309">
        <v>44753</v>
      </c>
      <c r="K157" s="310" t="s">
        <v>26</v>
      </c>
      <c r="L157" s="309">
        <v>44747</v>
      </c>
      <c r="M157" s="309">
        <v>44747</v>
      </c>
      <c r="N157" s="311"/>
      <c r="O157" s="312"/>
      <c r="P157" s="312"/>
      <c r="Q157" s="312"/>
      <c r="R157" s="312"/>
    </row>
    <row r="158" spans="1:18" s="124" customFormat="1" ht="168">
      <c r="A158" s="301">
        <v>3</v>
      </c>
      <c r="B158" s="230" t="s">
        <v>937</v>
      </c>
      <c r="C158" s="231" t="s">
        <v>146</v>
      </c>
      <c r="D158" s="232">
        <v>44749</v>
      </c>
      <c r="E158" s="233" t="s">
        <v>1070</v>
      </c>
      <c r="F158" s="234">
        <v>98000</v>
      </c>
      <c r="G158" s="235" t="s">
        <v>370</v>
      </c>
      <c r="H158" s="234">
        <f t="shared" ref="H158" si="30">F158</f>
        <v>98000</v>
      </c>
      <c r="I158" s="256" t="s">
        <v>759</v>
      </c>
      <c r="J158" s="237">
        <v>44761</v>
      </c>
      <c r="K158" s="256" t="s">
        <v>61</v>
      </c>
      <c r="L158" s="309">
        <v>44761</v>
      </c>
      <c r="M158" s="309">
        <v>44761</v>
      </c>
      <c r="N158" s="120"/>
      <c r="O158" s="126"/>
      <c r="P158" s="126"/>
      <c r="Q158" s="126"/>
      <c r="R158" s="126"/>
    </row>
    <row r="159" spans="1:18" s="124" customFormat="1" ht="126">
      <c r="A159" s="229">
        <v>4</v>
      </c>
      <c r="B159" s="230" t="s">
        <v>42</v>
      </c>
      <c r="C159" s="231" t="s">
        <v>147</v>
      </c>
      <c r="D159" s="232">
        <v>44754</v>
      </c>
      <c r="E159" s="233" t="s">
        <v>1051</v>
      </c>
      <c r="F159" s="234">
        <f>33000+8400</f>
        <v>41400</v>
      </c>
      <c r="G159" s="300" t="s">
        <v>171</v>
      </c>
      <c r="H159" s="234">
        <f t="shared" ref="H159" si="31">F159</f>
        <v>41400</v>
      </c>
      <c r="I159" s="256" t="s">
        <v>759</v>
      </c>
      <c r="J159" s="237" t="s">
        <v>1052</v>
      </c>
      <c r="K159" s="256" t="s">
        <v>61</v>
      </c>
      <c r="L159" s="309">
        <v>44809</v>
      </c>
      <c r="M159" s="309">
        <v>44809</v>
      </c>
      <c r="N159" s="120"/>
      <c r="O159" s="126"/>
      <c r="P159" s="126"/>
      <c r="Q159" s="126"/>
      <c r="R159" s="126"/>
    </row>
    <row r="160" spans="1:18" s="313" customFormat="1" ht="126">
      <c r="A160" s="301">
        <v>5</v>
      </c>
      <c r="B160" s="302" t="s">
        <v>951</v>
      </c>
      <c r="C160" s="303" t="s">
        <v>151</v>
      </c>
      <c r="D160" s="304">
        <v>44754</v>
      </c>
      <c r="E160" s="305" t="s">
        <v>953</v>
      </c>
      <c r="F160" s="306">
        <v>5330</v>
      </c>
      <c r="G160" s="401" t="s">
        <v>952</v>
      </c>
      <c r="H160" s="306">
        <f t="shared" ref="H160" si="32">F160</f>
        <v>5330</v>
      </c>
      <c r="I160" s="310" t="s">
        <v>44</v>
      </c>
      <c r="J160" s="309">
        <v>44756</v>
      </c>
      <c r="K160" s="310" t="s">
        <v>38</v>
      </c>
      <c r="L160" s="309">
        <v>44754</v>
      </c>
      <c r="M160" s="309">
        <v>44769</v>
      </c>
      <c r="N160" s="305" t="s">
        <v>954</v>
      </c>
      <c r="O160" s="305" t="s">
        <v>955</v>
      </c>
      <c r="P160" s="312"/>
      <c r="Q160" s="312"/>
      <c r="R160" s="312"/>
    </row>
    <row r="161" spans="1:18" s="313" customFormat="1" ht="147">
      <c r="A161" s="301">
        <v>6</v>
      </c>
      <c r="B161" s="302" t="s">
        <v>1057</v>
      </c>
      <c r="C161" s="303" t="s">
        <v>152</v>
      </c>
      <c r="D161" s="304">
        <v>44769</v>
      </c>
      <c r="E161" s="305" t="s">
        <v>1058</v>
      </c>
      <c r="F161" s="306">
        <f>5*11000</f>
        <v>55000</v>
      </c>
      <c r="G161" s="235" t="s">
        <v>370</v>
      </c>
      <c r="H161" s="306">
        <f t="shared" ref="H161" si="33">F161</f>
        <v>55000</v>
      </c>
      <c r="I161" s="310" t="s">
        <v>44</v>
      </c>
      <c r="J161" s="309">
        <v>44778</v>
      </c>
      <c r="K161" s="310" t="s">
        <v>26</v>
      </c>
      <c r="L161" s="309">
        <v>44775</v>
      </c>
      <c r="M161" s="309">
        <v>44775</v>
      </c>
      <c r="N161" s="305"/>
      <c r="O161" s="305"/>
      <c r="P161" s="312"/>
      <c r="Q161" s="312"/>
      <c r="R161" s="312"/>
    </row>
    <row r="162" spans="1:18" s="313" customFormat="1">
      <c r="A162" s="326"/>
      <c r="B162" s="327"/>
      <c r="C162" s="328"/>
      <c r="D162" s="329"/>
      <c r="E162" s="311"/>
      <c r="F162" s="330"/>
      <c r="G162" s="134"/>
      <c r="H162" s="330"/>
      <c r="I162" s="333"/>
      <c r="J162" s="332"/>
      <c r="K162" s="333"/>
      <c r="L162" s="332"/>
      <c r="M162" s="332"/>
      <c r="N162" s="311"/>
      <c r="O162" s="311"/>
      <c r="P162" s="312"/>
      <c r="Q162" s="312"/>
      <c r="R162" s="312"/>
    </row>
    <row r="163" spans="1:18" s="313" customFormat="1">
      <c r="A163" s="326"/>
      <c r="B163" s="327"/>
      <c r="C163" s="328"/>
      <c r="D163" s="329"/>
      <c r="E163" s="311"/>
      <c r="F163" s="330"/>
      <c r="G163" s="134"/>
      <c r="H163" s="330"/>
      <c r="I163" s="333"/>
      <c r="J163" s="332"/>
      <c r="K163" s="333"/>
      <c r="L163" s="332"/>
      <c r="M163" s="332"/>
      <c r="N163" s="311"/>
      <c r="O163" s="311"/>
      <c r="P163" s="312"/>
      <c r="Q163" s="312"/>
      <c r="R163" s="312"/>
    </row>
    <row r="164" spans="1:18" s="313" customFormat="1">
      <c r="A164" s="326"/>
      <c r="B164" s="327"/>
      <c r="C164" s="328"/>
      <c r="D164" s="329"/>
      <c r="E164" s="311"/>
      <c r="F164" s="330"/>
      <c r="G164" s="134"/>
      <c r="H164" s="330"/>
      <c r="I164" s="333"/>
      <c r="J164" s="332"/>
      <c r="K164" s="333"/>
      <c r="L164" s="332"/>
      <c r="M164" s="332"/>
      <c r="N164" s="311"/>
      <c r="O164" s="311"/>
      <c r="P164" s="312"/>
      <c r="Q164" s="312"/>
      <c r="R164" s="312"/>
    </row>
    <row r="165" spans="1:18" s="313" customFormat="1">
      <c r="A165" s="326"/>
      <c r="B165" s="327"/>
      <c r="C165" s="328"/>
      <c r="D165" s="329"/>
      <c r="E165" s="311"/>
      <c r="F165" s="330"/>
      <c r="G165" s="134"/>
      <c r="H165" s="330"/>
      <c r="I165" s="333"/>
      <c r="J165" s="332"/>
      <c r="K165" s="333"/>
      <c r="L165" s="332"/>
      <c r="M165" s="332"/>
      <c r="N165" s="311"/>
      <c r="O165" s="311"/>
      <c r="P165" s="312"/>
      <c r="Q165" s="312"/>
      <c r="R165" s="312"/>
    </row>
    <row r="166" spans="1:18" s="313" customFormat="1">
      <c r="A166" s="326"/>
      <c r="B166" s="327"/>
      <c r="C166" s="328"/>
      <c r="D166" s="329"/>
      <c r="E166" s="311"/>
      <c r="F166" s="330"/>
      <c r="G166" s="134"/>
      <c r="H166" s="330"/>
      <c r="I166" s="333"/>
      <c r="J166" s="332"/>
      <c r="K166" s="333"/>
      <c r="L166" s="332"/>
      <c r="M166" s="332"/>
      <c r="N166" s="311"/>
      <c r="O166" s="311"/>
      <c r="P166" s="312"/>
      <c r="Q166" s="312"/>
      <c r="R166" s="312"/>
    </row>
    <row r="167" spans="1:18" s="313" customFormat="1">
      <c r="A167" s="326"/>
      <c r="B167" s="327"/>
      <c r="C167" s="328"/>
      <c r="D167" s="329"/>
      <c r="E167" s="311"/>
      <c r="F167" s="330"/>
      <c r="G167" s="134"/>
      <c r="H167" s="330"/>
      <c r="I167" s="333"/>
      <c r="J167" s="332"/>
      <c r="K167" s="333"/>
      <c r="L167" s="332"/>
      <c r="M167" s="332"/>
      <c r="N167" s="311"/>
      <c r="O167" s="311"/>
      <c r="P167" s="312"/>
      <c r="Q167" s="312"/>
      <c r="R167" s="312"/>
    </row>
    <row r="168" spans="1:18" s="71" customFormat="1">
      <c r="A168" s="529" t="s">
        <v>1135</v>
      </c>
      <c r="B168" s="530"/>
      <c r="C168" s="530"/>
      <c r="D168" s="530"/>
      <c r="E168" s="530"/>
      <c r="F168" s="252"/>
      <c r="G168" s="50"/>
      <c r="H168" s="252"/>
      <c r="I168" s="70"/>
      <c r="J168" s="50"/>
      <c r="K168" s="50"/>
      <c r="L168" s="50"/>
      <c r="M168" s="50"/>
      <c r="N168" s="73"/>
      <c r="O168" s="50"/>
      <c r="P168" s="50"/>
      <c r="Q168" s="50"/>
      <c r="R168" s="50"/>
    </row>
    <row r="169" spans="1:18" s="313" customFormat="1" ht="126">
      <c r="A169" s="301">
        <v>1</v>
      </c>
      <c r="B169" s="349" t="s">
        <v>42</v>
      </c>
      <c r="C169" s="303" t="s">
        <v>456</v>
      </c>
      <c r="D169" s="304">
        <v>44782</v>
      </c>
      <c r="E169" s="305" t="s">
        <v>1171</v>
      </c>
      <c r="F169" s="306">
        <v>190000</v>
      </c>
      <c r="G169" s="300" t="s">
        <v>171</v>
      </c>
      <c r="H169" s="306">
        <f t="shared" ref="H169" si="34">F169</f>
        <v>190000</v>
      </c>
      <c r="I169" s="310" t="s">
        <v>44</v>
      </c>
      <c r="J169" s="309">
        <v>44830</v>
      </c>
      <c r="K169" s="310" t="s">
        <v>26</v>
      </c>
      <c r="L169" s="309"/>
      <c r="M169" s="309"/>
      <c r="N169" s="305" t="s">
        <v>1172</v>
      </c>
      <c r="O169" s="305"/>
      <c r="P169" s="312"/>
      <c r="Q169" s="312"/>
      <c r="R169" s="312"/>
    </row>
    <row r="170" spans="1:18" s="313" customFormat="1" ht="189">
      <c r="A170" s="301">
        <v>2</v>
      </c>
      <c r="B170" s="302" t="s">
        <v>1078</v>
      </c>
      <c r="C170" s="303" t="s">
        <v>156</v>
      </c>
      <c r="D170" s="304">
        <v>44791</v>
      </c>
      <c r="E170" s="305" t="s">
        <v>530</v>
      </c>
      <c r="F170" s="306">
        <v>22688</v>
      </c>
      <c r="G170" s="401" t="s">
        <v>377</v>
      </c>
      <c r="H170" s="306">
        <f t="shared" ref="H170" si="35">F170</f>
        <v>22688</v>
      </c>
      <c r="I170" s="310" t="s">
        <v>44</v>
      </c>
      <c r="J170" s="309">
        <v>44798</v>
      </c>
      <c r="K170" s="310" t="s">
        <v>115</v>
      </c>
      <c r="L170" s="309">
        <v>44797</v>
      </c>
      <c r="M170" s="309">
        <v>44797</v>
      </c>
      <c r="N170" s="305"/>
      <c r="O170" s="305"/>
      <c r="P170" s="312"/>
      <c r="Q170" s="312"/>
      <c r="R170" s="312"/>
    </row>
    <row r="171" spans="1:18" s="313" customFormat="1" ht="189">
      <c r="A171" s="301">
        <v>3</v>
      </c>
      <c r="B171" s="302" t="s">
        <v>1085</v>
      </c>
      <c r="C171" s="303" t="s">
        <v>157</v>
      </c>
      <c r="D171" s="304">
        <v>44791</v>
      </c>
      <c r="E171" s="305" t="s">
        <v>1086</v>
      </c>
      <c r="F171" s="306">
        <v>20196</v>
      </c>
      <c r="G171" s="401" t="s">
        <v>377</v>
      </c>
      <c r="H171" s="306">
        <f t="shared" ref="H171" si="36">F171</f>
        <v>20196</v>
      </c>
      <c r="I171" s="310" t="s">
        <v>44</v>
      </c>
      <c r="J171" s="309">
        <v>44798</v>
      </c>
      <c r="K171" s="310" t="s">
        <v>61</v>
      </c>
      <c r="L171" s="309">
        <v>44798</v>
      </c>
      <c r="M171" s="309">
        <v>44798</v>
      </c>
      <c r="N171" s="305"/>
      <c r="O171" s="305"/>
      <c r="P171" s="312"/>
      <c r="Q171" s="312"/>
      <c r="R171" s="312"/>
    </row>
    <row r="172" spans="1:18" s="124" customFormat="1" ht="189">
      <c r="A172" s="229">
        <v>4</v>
      </c>
      <c r="B172" s="230" t="s">
        <v>1082</v>
      </c>
      <c r="C172" s="231" t="s">
        <v>158</v>
      </c>
      <c r="D172" s="232">
        <v>44791</v>
      </c>
      <c r="E172" s="233" t="s">
        <v>1083</v>
      </c>
      <c r="F172" s="234">
        <v>10144</v>
      </c>
      <c r="G172" s="235" t="s">
        <v>377</v>
      </c>
      <c r="H172" s="234">
        <f t="shared" ref="H172" si="37">F172</f>
        <v>10144</v>
      </c>
      <c r="I172" s="256" t="s">
        <v>44</v>
      </c>
      <c r="J172" s="237">
        <v>44798</v>
      </c>
      <c r="K172" s="256" t="s">
        <v>37</v>
      </c>
      <c r="L172" s="237">
        <v>44797</v>
      </c>
      <c r="M172" s="237">
        <v>44797</v>
      </c>
      <c r="N172" s="233"/>
      <c r="O172" s="233"/>
      <c r="P172" s="126"/>
      <c r="Q172" s="126"/>
      <c r="R172" s="126"/>
    </row>
    <row r="173" spans="1:18" s="124" customFormat="1" ht="189">
      <c r="A173" s="229">
        <v>5</v>
      </c>
      <c r="B173" s="230" t="s">
        <v>1079</v>
      </c>
      <c r="C173" s="231" t="s">
        <v>159</v>
      </c>
      <c r="D173" s="232">
        <v>44791</v>
      </c>
      <c r="E173" s="233" t="s">
        <v>1080</v>
      </c>
      <c r="F173" s="234">
        <v>102467</v>
      </c>
      <c r="G173" s="235" t="s">
        <v>377</v>
      </c>
      <c r="H173" s="234">
        <f t="shared" ref="H173" si="38">F173</f>
        <v>102467</v>
      </c>
      <c r="I173" s="256" t="s">
        <v>44</v>
      </c>
      <c r="J173" s="237">
        <v>44798</v>
      </c>
      <c r="K173" s="256" t="s">
        <v>38</v>
      </c>
      <c r="L173" s="237">
        <v>44797</v>
      </c>
      <c r="M173" s="237">
        <v>44797</v>
      </c>
      <c r="N173" s="233"/>
      <c r="O173" s="233"/>
      <c r="P173" s="126"/>
      <c r="Q173" s="126"/>
      <c r="R173" s="126"/>
    </row>
    <row r="174" spans="1:18" s="124" customFormat="1" ht="189">
      <c r="A174" s="229">
        <v>6</v>
      </c>
      <c r="B174" s="230" t="s">
        <v>1081</v>
      </c>
      <c r="C174" s="231" t="s">
        <v>163</v>
      </c>
      <c r="D174" s="232">
        <v>44791</v>
      </c>
      <c r="E174" s="233" t="s">
        <v>1084</v>
      </c>
      <c r="F174" s="234">
        <v>2297</v>
      </c>
      <c r="G174" s="235" t="s">
        <v>377</v>
      </c>
      <c r="H174" s="234">
        <f t="shared" ref="H174" si="39">F174</f>
        <v>2297</v>
      </c>
      <c r="I174" s="256" t="s">
        <v>44</v>
      </c>
      <c r="J174" s="237">
        <v>44798</v>
      </c>
      <c r="K174" s="256" t="s">
        <v>37</v>
      </c>
      <c r="L174" s="237">
        <v>44797</v>
      </c>
      <c r="M174" s="237">
        <v>44797</v>
      </c>
      <c r="N174" s="233"/>
      <c r="O174" s="233"/>
      <c r="P174" s="126"/>
      <c r="Q174" s="126"/>
      <c r="R174" s="126"/>
    </row>
    <row r="175" spans="1:18" s="124" customFormat="1" ht="147">
      <c r="A175" s="229">
        <v>7</v>
      </c>
      <c r="B175" s="230" t="s">
        <v>1091</v>
      </c>
      <c r="C175" s="231" t="s">
        <v>164</v>
      </c>
      <c r="D175" s="232">
        <v>44795</v>
      </c>
      <c r="E175" s="233" t="s">
        <v>1092</v>
      </c>
      <c r="F175" s="234">
        <f>2*2500</f>
        <v>5000</v>
      </c>
      <c r="G175" s="235" t="s">
        <v>370</v>
      </c>
      <c r="H175" s="234">
        <f t="shared" ref="H175" si="40">F175</f>
        <v>5000</v>
      </c>
      <c r="I175" s="256" t="s">
        <v>44</v>
      </c>
      <c r="J175" s="237">
        <v>44802</v>
      </c>
      <c r="K175" s="256" t="s">
        <v>26</v>
      </c>
      <c r="L175" s="237">
        <v>44802</v>
      </c>
      <c r="M175" s="237">
        <v>44802</v>
      </c>
      <c r="N175" s="233"/>
      <c r="O175" s="233"/>
      <c r="P175" s="126"/>
      <c r="Q175" s="126"/>
      <c r="R175" s="126"/>
    </row>
    <row r="176" spans="1:18" s="124" customFormat="1" ht="147">
      <c r="A176" s="229">
        <v>8</v>
      </c>
      <c r="B176" s="230" t="s">
        <v>1097</v>
      </c>
      <c r="C176" s="231" t="s">
        <v>186</v>
      </c>
      <c r="D176" s="232">
        <v>44795</v>
      </c>
      <c r="E176" s="233" t="s">
        <v>1098</v>
      </c>
      <c r="F176" s="234">
        <f>2500+2160</f>
        <v>4660</v>
      </c>
      <c r="G176" s="235" t="s">
        <v>370</v>
      </c>
      <c r="H176" s="234">
        <f t="shared" ref="H176" si="41">F176</f>
        <v>4660</v>
      </c>
      <c r="I176" s="256" t="s">
        <v>44</v>
      </c>
      <c r="J176" s="237">
        <v>44802</v>
      </c>
      <c r="K176" s="256" t="s">
        <v>26</v>
      </c>
      <c r="L176" s="237">
        <v>44802</v>
      </c>
      <c r="M176" s="237">
        <v>44802</v>
      </c>
      <c r="N176" s="233"/>
      <c r="O176" s="233"/>
      <c r="P176" s="126"/>
      <c r="Q176" s="126"/>
      <c r="R176" s="126"/>
    </row>
    <row r="177" spans="1:18" s="124" customFormat="1" ht="147">
      <c r="A177" s="229">
        <v>9</v>
      </c>
      <c r="B177" s="230" t="s">
        <v>1099</v>
      </c>
      <c r="C177" s="231" t="s">
        <v>263</v>
      </c>
      <c r="D177" s="232">
        <v>44795</v>
      </c>
      <c r="E177" s="233" t="s">
        <v>1100</v>
      </c>
      <c r="F177" s="234">
        <f>2290+1150+660+1900</f>
        <v>6000</v>
      </c>
      <c r="G177" s="235" t="s">
        <v>370</v>
      </c>
      <c r="H177" s="234">
        <f t="shared" ref="H177" si="42">F177</f>
        <v>6000</v>
      </c>
      <c r="I177" s="256" t="s">
        <v>44</v>
      </c>
      <c r="J177" s="237">
        <v>44802</v>
      </c>
      <c r="K177" s="256" t="s">
        <v>26</v>
      </c>
      <c r="L177" s="237"/>
      <c r="M177" s="237"/>
      <c r="N177" s="233"/>
      <c r="O177" s="233"/>
      <c r="P177" s="126"/>
      <c r="Q177" s="126"/>
      <c r="R177" s="126"/>
    </row>
    <row r="178" spans="1:18" s="124" customFormat="1" ht="147">
      <c r="A178" s="229">
        <v>10</v>
      </c>
      <c r="B178" s="230" t="s">
        <v>1101</v>
      </c>
      <c r="C178" s="231" t="s">
        <v>264</v>
      </c>
      <c r="D178" s="232">
        <v>44796</v>
      </c>
      <c r="E178" s="233" t="s">
        <v>1102</v>
      </c>
      <c r="F178" s="234">
        <f>17500*5</f>
        <v>87500</v>
      </c>
      <c r="G178" s="235" t="s">
        <v>1103</v>
      </c>
      <c r="H178" s="234">
        <f t="shared" ref="H178" si="43">F178</f>
        <v>87500</v>
      </c>
      <c r="I178" s="256" t="s">
        <v>44</v>
      </c>
      <c r="J178" s="237">
        <v>44803</v>
      </c>
      <c r="K178" s="256" t="s">
        <v>26</v>
      </c>
      <c r="L178" s="237">
        <v>44803</v>
      </c>
      <c r="M178" s="237">
        <v>44803</v>
      </c>
      <c r="N178" s="233"/>
      <c r="O178" s="233"/>
      <c r="P178" s="126"/>
      <c r="Q178" s="126"/>
      <c r="R178" s="126"/>
    </row>
    <row r="179" spans="1:18" s="124" customFormat="1" ht="147">
      <c r="A179" s="229">
        <v>11</v>
      </c>
      <c r="B179" s="230" t="s">
        <v>1104</v>
      </c>
      <c r="C179" s="231" t="s">
        <v>267</v>
      </c>
      <c r="D179" s="232">
        <v>44796</v>
      </c>
      <c r="E179" s="233" t="s">
        <v>1105</v>
      </c>
      <c r="F179" s="234">
        <v>3200</v>
      </c>
      <c r="G179" s="157" t="s">
        <v>1106</v>
      </c>
      <c r="H179" s="234">
        <f t="shared" ref="H179" si="44">F179</f>
        <v>3200</v>
      </c>
      <c r="I179" s="256" t="s">
        <v>44</v>
      </c>
      <c r="J179" s="237">
        <v>44803</v>
      </c>
      <c r="K179" s="256" t="s">
        <v>26</v>
      </c>
      <c r="L179" s="237"/>
      <c r="M179" s="237"/>
      <c r="N179" s="233"/>
      <c r="O179" s="233"/>
      <c r="P179" s="126"/>
      <c r="Q179" s="126"/>
      <c r="R179" s="126"/>
    </row>
    <row r="180" spans="1:18" s="124" customFormat="1" ht="147">
      <c r="A180" s="229">
        <v>12</v>
      </c>
      <c r="B180" s="230" t="s">
        <v>1111</v>
      </c>
      <c r="C180" s="231" t="s">
        <v>274</v>
      </c>
      <c r="D180" s="232">
        <v>44802</v>
      </c>
      <c r="E180" s="398" t="s">
        <v>1112</v>
      </c>
      <c r="F180" s="234">
        <v>6450</v>
      </c>
      <c r="G180" s="235" t="s">
        <v>1103</v>
      </c>
      <c r="H180" s="234">
        <f t="shared" ref="H180" si="45">F180</f>
        <v>6450</v>
      </c>
      <c r="I180" s="256" t="s">
        <v>44</v>
      </c>
      <c r="J180" s="237">
        <v>44809</v>
      </c>
      <c r="K180" s="256" t="s">
        <v>115</v>
      </c>
      <c r="L180" s="237"/>
      <c r="M180" s="237"/>
      <c r="N180" s="233"/>
      <c r="O180" s="233"/>
      <c r="P180" s="126"/>
      <c r="Q180" s="126"/>
      <c r="R180" s="126"/>
    </row>
    <row r="181" spans="1:18" s="124" customFormat="1" ht="126">
      <c r="A181" s="229">
        <v>13</v>
      </c>
      <c r="B181" s="230" t="s">
        <v>1113</v>
      </c>
      <c r="C181" s="231" t="s">
        <v>277</v>
      </c>
      <c r="D181" s="232">
        <v>44802</v>
      </c>
      <c r="E181" s="398" t="s">
        <v>1114</v>
      </c>
      <c r="F181" s="234">
        <f>100*550</f>
        <v>55000</v>
      </c>
      <c r="G181" s="235" t="s">
        <v>1115</v>
      </c>
      <c r="H181" s="234">
        <f t="shared" ref="H181" si="46">F181</f>
        <v>55000</v>
      </c>
      <c r="I181" s="256" t="s">
        <v>44</v>
      </c>
      <c r="J181" s="237">
        <v>44809</v>
      </c>
      <c r="K181" s="256" t="s">
        <v>37</v>
      </c>
      <c r="L181" s="237"/>
      <c r="M181" s="237"/>
      <c r="N181" s="233"/>
      <c r="O181" s="233"/>
      <c r="P181" s="126"/>
      <c r="Q181" s="126"/>
      <c r="R181" s="126"/>
    </row>
    <row r="182" spans="1:18" s="71" customFormat="1">
      <c r="A182" s="529" t="s">
        <v>1118</v>
      </c>
      <c r="B182" s="530"/>
      <c r="C182" s="530"/>
      <c r="D182" s="530"/>
      <c r="E182" s="530"/>
      <c r="F182" s="252"/>
      <c r="G182" s="50"/>
      <c r="H182" s="252"/>
      <c r="I182" s="70"/>
      <c r="J182" s="50"/>
      <c r="K182" s="50"/>
      <c r="L182" s="50"/>
      <c r="M182" s="50"/>
      <c r="N182" s="73"/>
      <c r="O182" s="50"/>
      <c r="P182" s="50"/>
      <c r="Q182" s="50"/>
      <c r="R182" s="50"/>
    </row>
    <row r="183" spans="1:18" s="124" customFormat="1" ht="147">
      <c r="A183" s="229">
        <v>1</v>
      </c>
      <c r="B183" s="230" t="s">
        <v>1123</v>
      </c>
      <c r="C183" s="231" t="s">
        <v>279</v>
      </c>
      <c r="D183" s="232">
        <v>44810</v>
      </c>
      <c r="E183" s="400" t="s">
        <v>1124</v>
      </c>
      <c r="F183" s="234">
        <f>1800*110</f>
        <v>198000</v>
      </c>
      <c r="G183" s="235" t="s">
        <v>1125</v>
      </c>
      <c r="H183" s="234">
        <f t="shared" ref="H183" si="47">F183</f>
        <v>198000</v>
      </c>
      <c r="I183" s="256" t="s">
        <v>1126</v>
      </c>
      <c r="J183" s="237">
        <v>44817</v>
      </c>
      <c r="K183" s="256" t="s">
        <v>26</v>
      </c>
      <c r="L183" s="237"/>
      <c r="M183" s="237"/>
      <c r="N183" s="233"/>
      <c r="O183" s="233"/>
      <c r="P183" s="126"/>
      <c r="Q183" s="126"/>
      <c r="R183" s="126"/>
    </row>
    <row r="184" spans="1:18" s="124" customFormat="1" ht="126">
      <c r="A184" s="229">
        <v>2</v>
      </c>
      <c r="B184" s="230" t="s">
        <v>1127</v>
      </c>
      <c r="C184" s="231" t="s">
        <v>280</v>
      </c>
      <c r="D184" s="232">
        <v>44810</v>
      </c>
      <c r="E184" s="400" t="s">
        <v>1128</v>
      </c>
      <c r="F184" s="234">
        <f>76000+22200</f>
        <v>98200</v>
      </c>
      <c r="G184" s="235" t="s">
        <v>1115</v>
      </c>
      <c r="H184" s="234">
        <f t="shared" ref="H184" si="48">F184</f>
        <v>98200</v>
      </c>
      <c r="I184" s="256" t="s">
        <v>1126</v>
      </c>
      <c r="J184" s="237">
        <v>44817</v>
      </c>
      <c r="K184" s="256" t="s">
        <v>26</v>
      </c>
      <c r="L184" s="237"/>
      <c r="M184" s="237"/>
      <c r="N184" s="233"/>
      <c r="O184" s="233"/>
      <c r="P184" s="126"/>
      <c r="Q184" s="126"/>
      <c r="R184" s="126"/>
    </row>
    <row r="185" spans="1:18" s="124" customFormat="1" ht="147">
      <c r="A185" s="229">
        <v>3</v>
      </c>
      <c r="B185" s="230" t="s">
        <v>1129</v>
      </c>
      <c r="C185" s="231" t="s">
        <v>283</v>
      </c>
      <c r="D185" s="232">
        <v>44811</v>
      </c>
      <c r="E185" s="212" t="s">
        <v>1130</v>
      </c>
      <c r="F185" s="123">
        <v>7500</v>
      </c>
      <c r="G185" s="127" t="s">
        <v>345</v>
      </c>
      <c r="H185" s="234">
        <f t="shared" ref="H185" si="49">F185</f>
        <v>7500</v>
      </c>
      <c r="I185" s="256" t="s">
        <v>1134</v>
      </c>
      <c r="J185" s="237">
        <v>44818</v>
      </c>
      <c r="K185" s="256" t="s">
        <v>26</v>
      </c>
      <c r="L185" s="237"/>
      <c r="M185" s="237"/>
      <c r="N185" s="233"/>
      <c r="O185" s="233"/>
      <c r="P185" s="126"/>
      <c r="Q185" s="126"/>
      <c r="R185" s="126"/>
    </row>
    <row r="186" spans="1:18" s="124" customFormat="1" ht="112.5">
      <c r="A186" s="229">
        <v>4</v>
      </c>
      <c r="B186" s="230" t="s">
        <v>1131</v>
      </c>
      <c r="C186" s="231" t="s">
        <v>286</v>
      </c>
      <c r="D186" s="232">
        <v>44811</v>
      </c>
      <c r="E186" s="233" t="s">
        <v>1132</v>
      </c>
      <c r="F186" s="123">
        <f>33600+15200</f>
        <v>48800</v>
      </c>
      <c r="G186" s="403" t="s">
        <v>1133</v>
      </c>
      <c r="H186" s="234">
        <f t="shared" ref="H186" si="50">F186</f>
        <v>48800</v>
      </c>
      <c r="I186" s="256" t="s">
        <v>44</v>
      </c>
      <c r="J186" s="237">
        <v>44818</v>
      </c>
      <c r="K186" s="256" t="s">
        <v>26</v>
      </c>
      <c r="L186" s="237"/>
      <c r="M186" s="237"/>
      <c r="N186" s="233"/>
      <c r="O186" s="233"/>
      <c r="P186" s="126"/>
      <c r="Q186" s="126"/>
      <c r="R186" s="126"/>
    </row>
    <row r="187" spans="1:18" s="124" customFormat="1" ht="147">
      <c r="A187" s="229">
        <v>5</v>
      </c>
      <c r="B187" s="230" t="s">
        <v>1138</v>
      </c>
      <c r="C187" s="231" t="s">
        <v>288</v>
      </c>
      <c r="D187" s="232">
        <v>44811</v>
      </c>
      <c r="E187" s="222" t="s">
        <v>1141</v>
      </c>
      <c r="F187" s="213">
        <f>323*20*7.82</f>
        <v>50517.200000000004</v>
      </c>
      <c r="G187" s="479" t="s">
        <v>145</v>
      </c>
      <c r="H187" s="234">
        <f t="shared" ref="H187" si="51">F187</f>
        <v>50517.200000000004</v>
      </c>
      <c r="I187" s="256" t="s">
        <v>44</v>
      </c>
      <c r="J187" s="237">
        <v>44841</v>
      </c>
      <c r="K187" s="256" t="s">
        <v>38</v>
      </c>
      <c r="L187" s="237"/>
      <c r="M187" s="237"/>
      <c r="N187" s="233"/>
      <c r="O187" s="233"/>
      <c r="P187" s="126"/>
      <c r="Q187" s="126"/>
      <c r="R187" s="126"/>
    </row>
    <row r="188" spans="1:18" s="124" customFormat="1" ht="147">
      <c r="A188" s="229">
        <v>6</v>
      </c>
      <c r="B188" s="230" t="s">
        <v>1139</v>
      </c>
      <c r="C188" s="231" t="s">
        <v>292</v>
      </c>
      <c r="D188" s="232">
        <v>44811</v>
      </c>
      <c r="E188" s="222" t="s">
        <v>1140</v>
      </c>
      <c r="F188" s="234">
        <f>985*20*7.82</f>
        <v>154054</v>
      </c>
      <c r="G188" s="401" t="s">
        <v>145</v>
      </c>
      <c r="H188" s="234">
        <f t="shared" ref="H188" si="52">F188</f>
        <v>154054</v>
      </c>
      <c r="I188" s="256" t="s">
        <v>44</v>
      </c>
      <c r="J188" s="237">
        <v>44841</v>
      </c>
      <c r="K188" s="256" t="s">
        <v>38</v>
      </c>
      <c r="L188" s="237"/>
      <c r="M188" s="237"/>
      <c r="N188" s="233"/>
      <c r="O188" s="233"/>
      <c r="P188" s="126"/>
      <c r="Q188" s="126"/>
      <c r="R188" s="126"/>
    </row>
    <row r="189" spans="1:18" s="124" customFormat="1" ht="147">
      <c r="A189" s="229">
        <v>7</v>
      </c>
      <c r="B189" s="230" t="s">
        <v>1149</v>
      </c>
      <c r="C189" s="231" t="s">
        <v>295</v>
      </c>
      <c r="D189" s="232">
        <v>44823</v>
      </c>
      <c r="E189" s="222" t="s">
        <v>1150</v>
      </c>
      <c r="F189" s="234">
        <v>6820</v>
      </c>
      <c r="G189" s="235" t="s">
        <v>1152</v>
      </c>
      <c r="H189" s="234">
        <f t="shared" ref="H189" si="53">F189</f>
        <v>6820</v>
      </c>
      <c r="I189" s="256" t="s">
        <v>44</v>
      </c>
      <c r="J189" s="237">
        <v>44830</v>
      </c>
      <c r="K189" s="256" t="s">
        <v>37</v>
      </c>
      <c r="L189" s="237"/>
      <c r="M189" s="237"/>
      <c r="N189" s="233"/>
      <c r="O189" s="233"/>
      <c r="P189" s="126"/>
      <c r="Q189" s="126"/>
      <c r="R189" s="126"/>
    </row>
    <row r="190" spans="1:18" s="124" customFormat="1" ht="147">
      <c r="A190" s="229">
        <v>8</v>
      </c>
      <c r="B190" s="230" t="s">
        <v>1153</v>
      </c>
      <c r="C190" s="231" t="s">
        <v>298</v>
      </c>
      <c r="D190" s="232">
        <v>44823</v>
      </c>
      <c r="E190" s="222" t="s">
        <v>1154</v>
      </c>
      <c r="F190" s="234">
        <v>42360</v>
      </c>
      <c r="G190" s="235" t="s">
        <v>1155</v>
      </c>
      <c r="H190" s="234">
        <f t="shared" ref="H190" si="54">F190</f>
        <v>42360</v>
      </c>
      <c r="I190" s="256" t="s">
        <v>1156</v>
      </c>
      <c r="J190" s="237">
        <v>44830</v>
      </c>
      <c r="K190" s="256" t="s">
        <v>37</v>
      </c>
      <c r="L190" s="237"/>
      <c r="M190" s="237"/>
      <c r="N190" s="233"/>
      <c r="O190" s="233"/>
      <c r="P190" s="126"/>
      <c r="Q190" s="126"/>
      <c r="R190" s="126"/>
    </row>
    <row r="191" spans="1:18" s="124" customFormat="1" ht="147">
      <c r="A191" s="229">
        <v>9</v>
      </c>
      <c r="B191" s="230" t="s">
        <v>1157</v>
      </c>
      <c r="C191" s="231" t="s">
        <v>301</v>
      </c>
      <c r="D191" s="232">
        <v>44824</v>
      </c>
      <c r="E191" s="222" t="s">
        <v>1158</v>
      </c>
      <c r="F191" s="234">
        <v>29845</v>
      </c>
      <c r="G191" s="235" t="s">
        <v>1159</v>
      </c>
      <c r="H191" s="234">
        <f t="shared" ref="H191" si="55">F191</f>
        <v>29845</v>
      </c>
      <c r="I191" s="256" t="s">
        <v>1126</v>
      </c>
      <c r="J191" s="237">
        <v>44831</v>
      </c>
      <c r="K191" s="256" t="s">
        <v>26</v>
      </c>
      <c r="L191" s="237"/>
      <c r="M191" s="237"/>
      <c r="N191" s="233"/>
      <c r="O191" s="233"/>
      <c r="P191" s="126"/>
      <c r="Q191" s="126"/>
      <c r="R191" s="126"/>
    </row>
    <row r="192" spans="1:18" s="124" customFormat="1" ht="147">
      <c r="A192" s="229">
        <v>10</v>
      </c>
      <c r="B192" s="230" t="s">
        <v>1160</v>
      </c>
      <c r="C192" s="231" t="s">
        <v>304</v>
      </c>
      <c r="D192" s="232">
        <v>44824</v>
      </c>
      <c r="E192" s="222" t="s">
        <v>1161</v>
      </c>
      <c r="F192" s="234">
        <v>118590</v>
      </c>
      <c r="G192" s="127" t="s">
        <v>1162</v>
      </c>
      <c r="H192" s="234">
        <f t="shared" ref="H192" si="56">F192</f>
        <v>118590</v>
      </c>
      <c r="I192" s="256" t="s">
        <v>1126</v>
      </c>
      <c r="J192" s="237">
        <v>44831</v>
      </c>
      <c r="K192" s="256" t="s">
        <v>26</v>
      </c>
      <c r="L192" s="237"/>
      <c r="M192" s="237"/>
      <c r="N192" s="233"/>
      <c r="O192" s="233"/>
      <c r="P192" s="126"/>
      <c r="Q192" s="126"/>
      <c r="R192" s="126"/>
    </row>
    <row r="193" spans="1:18" s="124" customFormat="1" ht="147">
      <c r="A193" s="229">
        <v>11</v>
      </c>
      <c r="B193" s="230" t="s">
        <v>1163</v>
      </c>
      <c r="C193" s="231" t="s">
        <v>307</v>
      </c>
      <c r="D193" s="232">
        <v>44826</v>
      </c>
      <c r="E193" s="222" t="s">
        <v>1164</v>
      </c>
      <c r="F193" s="234">
        <v>122370</v>
      </c>
      <c r="G193" s="127" t="s">
        <v>1162</v>
      </c>
      <c r="H193" s="234">
        <f t="shared" ref="H193" si="57">F193</f>
        <v>122370</v>
      </c>
      <c r="I193" s="256" t="s">
        <v>1126</v>
      </c>
      <c r="J193" s="237">
        <v>44833</v>
      </c>
      <c r="K193" s="256" t="s">
        <v>26</v>
      </c>
      <c r="L193" s="237"/>
      <c r="M193" s="237"/>
      <c r="N193" s="233"/>
      <c r="O193" s="233"/>
      <c r="P193" s="126"/>
      <c r="Q193" s="126"/>
      <c r="R193" s="126"/>
    </row>
    <row r="194" spans="1:18" s="124" customFormat="1" ht="147">
      <c r="A194" s="229">
        <v>11</v>
      </c>
      <c r="B194" s="230" t="s">
        <v>1165</v>
      </c>
      <c r="C194" s="231" t="s">
        <v>310</v>
      </c>
      <c r="D194" s="232">
        <v>44826</v>
      </c>
      <c r="E194" s="222" t="s">
        <v>1166</v>
      </c>
      <c r="F194" s="234">
        <v>13650</v>
      </c>
      <c r="G194" s="235" t="s">
        <v>1103</v>
      </c>
      <c r="H194" s="234">
        <f t="shared" ref="H194" si="58">F194</f>
        <v>13650</v>
      </c>
      <c r="I194" s="256" t="s">
        <v>1167</v>
      </c>
      <c r="J194" s="237">
        <v>44833</v>
      </c>
      <c r="K194" s="256" t="s">
        <v>37</v>
      </c>
      <c r="L194" s="237"/>
      <c r="M194" s="237"/>
      <c r="N194" s="233"/>
      <c r="O194" s="233"/>
      <c r="P194" s="126"/>
      <c r="Q194" s="126"/>
      <c r="R194" s="126"/>
    </row>
  </sheetData>
  <mergeCells count="18">
    <mergeCell ref="A155:E155"/>
    <mergeCell ref="A133:E133"/>
    <mergeCell ref="A127:E127"/>
    <mergeCell ref="A42:E42"/>
    <mergeCell ref="A182:E182"/>
    <mergeCell ref="A168:E168"/>
    <mergeCell ref="A1:M1"/>
    <mergeCell ref="A2:M2"/>
    <mergeCell ref="A3:M3"/>
    <mergeCell ref="A7:E7"/>
    <mergeCell ref="L5:L6"/>
    <mergeCell ref="M5:M6"/>
    <mergeCell ref="A21:E21"/>
    <mergeCell ref="A105:E105"/>
    <mergeCell ref="A90:E90"/>
    <mergeCell ref="A67:E67"/>
    <mergeCell ref="A68:E68"/>
    <mergeCell ref="A54:E54"/>
  </mergeCells>
  <phoneticPr fontId="8" type="noConversion"/>
  <pageMargins left="0.59055118110236227" right="0.19685039370078741" top="0.78740157480314965" bottom="3.937007874015748E-2" header="0.31496062992125984" footer="3.937007874015748E-2"/>
  <pageSetup paperSize="5" orientation="landscape"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W369"/>
  <sheetViews>
    <sheetView view="pageBreakPreview" zoomScaleNormal="100" zoomScaleSheetLayoutView="100" workbookViewId="0">
      <pane ySplit="6" topLeftCell="A315" activePane="bottomLeft" state="frozen"/>
      <selection pane="bottomLeft" sqref="A1:XFD1048576"/>
    </sheetView>
  </sheetViews>
  <sheetFormatPr defaultColWidth="9" defaultRowHeight="21"/>
  <cols>
    <col min="1" max="1" width="3.85546875" style="75" customWidth="1"/>
    <col min="2" max="2" width="11.5703125" style="74" customWidth="1"/>
    <col min="3" max="3" width="7.5703125" style="51" customWidth="1"/>
    <col min="4" max="4" width="8" style="51" customWidth="1"/>
    <col min="5" max="5" width="29.28515625" style="51" customWidth="1"/>
    <col min="6" max="6" width="9.5703125" style="51" customWidth="1"/>
    <col min="7" max="7" width="33.85546875" style="51" customWidth="1"/>
    <col min="8" max="8" width="8.5703125" style="75" customWidth="1"/>
    <col min="9" max="9" width="6.5703125" style="75" bestFit="1" customWidth="1"/>
    <col min="10" max="10" width="8.5703125" style="75" customWidth="1"/>
    <col min="11" max="11" width="7.28515625" style="75" customWidth="1"/>
    <col min="12" max="12" width="7.85546875" style="75" customWidth="1"/>
    <col min="13" max="13" width="7" style="75" customWidth="1"/>
    <col min="14" max="14" width="7.28515625" style="49" bestFit="1" customWidth="1"/>
    <col min="15" max="15" width="17.140625" style="50" customWidth="1"/>
    <col min="16" max="16" width="3.140625" style="50" customWidth="1"/>
    <col min="17" max="17" width="28.28515625" style="51" customWidth="1"/>
    <col min="18" max="18" width="9" style="51"/>
    <col min="19" max="19" width="16.85546875" style="51" customWidth="1"/>
    <col min="20" max="20" width="19" style="51" bestFit="1" customWidth="1"/>
    <col min="21" max="21" width="7.28515625" style="51" customWidth="1"/>
    <col min="22" max="22" width="9" style="51"/>
    <col min="23" max="23" width="18.7109375" style="51" customWidth="1"/>
    <col min="24" max="16384" width="9" style="51"/>
  </cols>
  <sheetData>
    <row r="1" spans="1:17">
      <c r="A1" s="547" t="s">
        <v>32</v>
      </c>
      <c r="B1" s="547"/>
      <c r="C1" s="547"/>
      <c r="D1" s="547"/>
      <c r="E1" s="547"/>
      <c r="F1" s="547"/>
      <c r="G1" s="547"/>
      <c r="H1" s="547"/>
      <c r="I1" s="547"/>
      <c r="J1" s="547"/>
      <c r="K1" s="547"/>
      <c r="L1" s="547"/>
      <c r="M1" s="547"/>
    </row>
    <row r="2" spans="1:17">
      <c r="A2" s="547" t="s">
        <v>23</v>
      </c>
      <c r="B2" s="547"/>
      <c r="C2" s="547"/>
      <c r="D2" s="547"/>
      <c r="E2" s="547"/>
      <c r="F2" s="547"/>
      <c r="G2" s="547"/>
      <c r="H2" s="547"/>
      <c r="I2" s="547"/>
      <c r="J2" s="547"/>
      <c r="K2" s="547"/>
      <c r="L2" s="547"/>
      <c r="M2" s="547"/>
    </row>
    <row r="3" spans="1:17">
      <c r="A3" s="547" t="s">
        <v>69</v>
      </c>
      <c r="B3" s="547"/>
      <c r="C3" s="547"/>
      <c r="D3" s="547"/>
      <c r="E3" s="547"/>
      <c r="F3" s="547"/>
      <c r="G3" s="547"/>
      <c r="H3" s="547"/>
      <c r="I3" s="547"/>
      <c r="J3" s="547"/>
      <c r="K3" s="547"/>
      <c r="L3" s="547"/>
      <c r="M3" s="547"/>
    </row>
    <row r="4" spans="1:17">
      <c r="A4" s="52"/>
      <c r="B4" s="53"/>
      <c r="C4" s="52"/>
      <c r="D4" s="52"/>
      <c r="E4" s="52"/>
      <c r="F4" s="52"/>
      <c r="G4" s="52"/>
      <c r="H4" s="52"/>
      <c r="I4" s="52"/>
      <c r="J4" s="52"/>
      <c r="K4" s="52"/>
      <c r="L4" s="52"/>
      <c r="M4" s="52"/>
    </row>
    <row r="5" spans="1:17" s="59" customFormat="1" ht="25.5" customHeight="1">
      <c r="A5" s="54" t="s">
        <v>0</v>
      </c>
      <c r="B5" s="55" t="s">
        <v>21</v>
      </c>
      <c r="C5" s="54" t="s">
        <v>14</v>
      </c>
      <c r="D5" s="54" t="s">
        <v>16</v>
      </c>
      <c r="E5" s="536" t="s">
        <v>2</v>
      </c>
      <c r="F5" s="54" t="s">
        <v>19</v>
      </c>
      <c r="G5" s="536" t="s">
        <v>40</v>
      </c>
      <c r="H5" s="54" t="s">
        <v>6</v>
      </c>
      <c r="I5" s="54" t="s">
        <v>8</v>
      </c>
      <c r="J5" s="54" t="s">
        <v>10</v>
      </c>
      <c r="K5" s="54" t="s">
        <v>11</v>
      </c>
      <c r="L5" s="536" t="s">
        <v>13</v>
      </c>
      <c r="M5" s="536" t="s">
        <v>39</v>
      </c>
      <c r="N5" s="57" t="s">
        <v>63</v>
      </c>
      <c r="O5" s="58"/>
      <c r="P5" s="58"/>
    </row>
    <row r="6" spans="1:17" s="59" customFormat="1" ht="25.5" customHeight="1">
      <c r="A6" s="60" t="s">
        <v>1</v>
      </c>
      <c r="B6" s="61" t="s">
        <v>22</v>
      </c>
      <c r="C6" s="60" t="s">
        <v>5</v>
      </c>
      <c r="D6" s="60" t="s">
        <v>4</v>
      </c>
      <c r="E6" s="537"/>
      <c r="F6" s="60" t="s">
        <v>20</v>
      </c>
      <c r="G6" s="537"/>
      <c r="H6" s="60" t="s">
        <v>7</v>
      </c>
      <c r="I6" s="60" t="s">
        <v>9</v>
      </c>
      <c r="J6" s="60" t="s">
        <v>14</v>
      </c>
      <c r="K6" s="60" t="s">
        <v>12</v>
      </c>
      <c r="L6" s="537"/>
      <c r="M6" s="537"/>
      <c r="N6" s="63" t="s">
        <v>64</v>
      </c>
      <c r="O6" s="58"/>
      <c r="P6" s="58"/>
    </row>
    <row r="7" spans="1:17" s="67" customFormat="1" ht="25.5" customHeight="1">
      <c r="A7" s="544" t="s">
        <v>506</v>
      </c>
      <c r="B7" s="545"/>
      <c r="C7" s="545"/>
      <c r="D7" s="545"/>
      <c r="E7" s="546"/>
      <c r="F7" s="64"/>
      <c r="G7" s="65"/>
      <c r="H7" s="64"/>
      <c r="I7" s="64"/>
      <c r="J7" s="64"/>
      <c r="K7" s="64"/>
      <c r="L7" s="65"/>
      <c r="M7" s="65"/>
      <c r="N7" s="66"/>
      <c r="O7" s="116"/>
      <c r="P7" s="116"/>
    </row>
    <row r="8" spans="1:17" s="114" customFormat="1" ht="84">
      <c r="A8" s="105">
        <v>1</v>
      </c>
      <c r="B8" s="106" t="s">
        <v>42</v>
      </c>
      <c r="C8" s="105" t="s">
        <v>89</v>
      </c>
      <c r="D8" s="107" t="s">
        <v>71</v>
      </c>
      <c r="E8" s="108" t="s">
        <v>187</v>
      </c>
      <c r="F8" s="105">
        <v>54000</v>
      </c>
      <c r="G8" s="108" t="s">
        <v>188</v>
      </c>
      <c r="H8" s="109">
        <f t="shared" ref="H8:H24" si="0">F8</f>
        <v>54000</v>
      </c>
      <c r="I8" s="109" t="s">
        <v>34</v>
      </c>
      <c r="J8" s="110">
        <v>44651</v>
      </c>
      <c r="K8" s="109" t="s">
        <v>37</v>
      </c>
      <c r="L8" s="109"/>
      <c r="M8" s="109"/>
      <c r="N8" s="111"/>
      <c r="O8" s="112"/>
      <c r="P8" s="112"/>
      <c r="Q8" s="113"/>
    </row>
    <row r="9" spans="1:17" s="114" customFormat="1" ht="84">
      <c r="A9" s="105">
        <v>2</v>
      </c>
      <c r="B9" s="106" t="s">
        <v>42</v>
      </c>
      <c r="C9" s="105" t="s">
        <v>89</v>
      </c>
      <c r="D9" s="107" t="s">
        <v>108</v>
      </c>
      <c r="E9" s="108" t="s">
        <v>187</v>
      </c>
      <c r="F9" s="105">
        <v>54000</v>
      </c>
      <c r="G9" s="108" t="s">
        <v>189</v>
      </c>
      <c r="H9" s="109">
        <f t="shared" si="0"/>
        <v>54000</v>
      </c>
      <c r="I9" s="109" t="s">
        <v>34</v>
      </c>
      <c r="J9" s="110">
        <v>44651</v>
      </c>
      <c r="K9" s="109" t="s">
        <v>37</v>
      </c>
      <c r="L9" s="109"/>
      <c r="M9" s="109"/>
      <c r="N9" s="111"/>
      <c r="O9" s="112"/>
      <c r="P9" s="112"/>
      <c r="Q9" s="113"/>
    </row>
    <row r="10" spans="1:17" s="114" customFormat="1" ht="84">
      <c r="A10" s="105">
        <v>3</v>
      </c>
      <c r="B10" s="106" t="s">
        <v>42</v>
      </c>
      <c r="C10" s="105" t="s">
        <v>89</v>
      </c>
      <c r="D10" s="107" t="s">
        <v>109</v>
      </c>
      <c r="E10" s="108" t="s">
        <v>190</v>
      </c>
      <c r="F10" s="105">
        <v>54000</v>
      </c>
      <c r="G10" s="108" t="s">
        <v>191</v>
      </c>
      <c r="H10" s="109">
        <f t="shared" si="0"/>
        <v>54000</v>
      </c>
      <c r="I10" s="109" t="s">
        <v>34</v>
      </c>
      <c r="J10" s="110">
        <v>44651</v>
      </c>
      <c r="K10" s="109" t="s">
        <v>37</v>
      </c>
      <c r="L10" s="109"/>
      <c r="M10" s="109"/>
      <c r="N10" s="111"/>
      <c r="O10" s="112"/>
      <c r="P10" s="112"/>
      <c r="Q10" s="113"/>
    </row>
    <row r="11" spans="1:17" s="114" customFormat="1" ht="84">
      <c r="A11" s="105">
        <v>4</v>
      </c>
      <c r="B11" s="106" t="s">
        <v>42</v>
      </c>
      <c r="C11" s="105" t="s">
        <v>89</v>
      </c>
      <c r="D11" s="107" t="s">
        <v>110</v>
      </c>
      <c r="E11" s="108" t="s">
        <v>190</v>
      </c>
      <c r="F11" s="105">
        <v>54000</v>
      </c>
      <c r="G11" s="108" t="s">
        <v>192</v>
      </c>
      <c r="H11" s="109">
        <f t="shared" si="0"/>
        <v>54000</v>
      </c>
      <c r="I11" s="109" t="s">
        <v>34</v>
      </c>
      <c r="J11" s="110">
        <v>44651</v>
      </c>
      <c r="K11" s="109" t="s">
        <v>37</v>
      </c>
      <c r="L11" s="109"/>
      <c r="M11" s="109"/>
      <c r="N11" s="111"/>
      <c r="O11" s="112"/>
      <c r="P11" s="112"/>
      <c r="Q11" s="113"/>
    </row>
    <row r="12" spans="1:17" s="114" customFormat="1" ht="84">
      <c r="A12" s="105">
        <v>5</v>
      </c>
      <c r="B12" s="106" t="s">
        <v>42</v>
      </c>
      <c r="C12" s="105" t="s">
        <v>89</v>
      </c>
      <c r="D12" s="107" t="s">
        <v>111</v>
      </c>
      <c r="E12" s="108" t="s">
        <v>190</v>
      </c>
      <c r="F12" s="105">
        <v>54000</v>
      </c>
      <c r="G12" s="108" t="s">
        <v>193</v>
      </c>
      <c r="H12" s="109">
        <f t="shared" si="0"/>
        <v>54000</v>
      </c>
      <c r="I12" s="109" t="s">
        <v>34</v>
      </c>
      <c r="J12" s="110">
        <v>44651</v>
      </c>
      <c r="K12" s="109" t="s">
        <v>37</v>
      </c>
      <c r="L12" s="109"/>
      <c r="M12" s="109"/>
      <c r="N12" s="111"/>
      <c r="O12" s="112"/>
      <c r="P12" s="112"/>
      <c r="Q12" s="113"/>
    </row>
    <row r="13" spans="1:17" s="114" customFormat="1" ht="84">
      <c r="A13" s="105">
        <v>6</v>
      </c>
      <c r="B13" s="106" t="s">
        <v>42</v>
      </c>
      <c r="C13" s="105" t="s">
        <v>89</v>
      </c>
      <c r="D13" s="107" t="s">
        <v>112</v>
      </c>
      <c r="E13" s="108" t="s">
        <v>190</v>
      </c>
      <c r="F13" s="105">
        <v>54000</v>
      </c>
      <c r="G13" s="108" t="s">
        <v>194</v>
      </c>
      <c r="H13" s="109">
        <f t="shared" si="0"/>
        <v>54000</v>
      </c>
      <c r="I13" s="109" t="s">
        <v>34</v>
      </c>
      <c r="J13" s="110">
        <v>44651</v>
      </c>
      <c r="K13" s="109" t="s">
        <v>37</v>
      </c>
      <c r="L13" s="109"/>
      <c r="M13" s="109"/>
      <c r="N13" s="111"/>
      <c r="O13" s="112"/>
      <c r="P13" s="112"/>
      <c r="Q13" s="113"/>
    </row>
    <row r="14" spans="1:17" s="114" customFormat="1" ht="84">
      <c r="A14" s="105">
        <v>7</v>
      </c>
      <c r="B14" s="106" t="s">
        <v>42</v>
      </c>
      <c r="C14" s="105" t="s">
        <v>89</v>
      </c>
      <c r="D14" s="107" t="s">
        <v>113</v>
      </c>
      <c r="E14" s="108" t="s">
        <v>195</v>
      </c>
      <c r="F14" s="105">
        <v>54000</v>
      </c>
      <c r="G14" s="108" t="s">
        <v>196</v>
      </c>
      <c r="H14" s="109">
        <f t="shared" si="0"/>
        <v>54000</v>
      </c>
      <c r="I14" s="109" t="s">
        <v>34</v>
      </c>
      <c r="J14" s="110">
        <v>44651</v>
      </c>
      <c r="K14" s="109" t="s">
        <v>37</v>
      </c>
      <c r="L14" s="109"/>
      <c r="M14" s="109"/>
      <c r="N14" s="111"/>
      <c r="O14" s="112"/>
      <c r="P14" s="112"/>
      <c r="Q14" s="113"/>
    </row>
    <row r="15" spans="1:17" s="114" customFormat="1" ht="105">
      <c r="A15" s="105">
        <v>8</v>
      </c>
      <c r="B15" s="106" t="s">
        <v>42</v>
      </c>
      <c r="C15" s="105" t="s">
        <v>89</v>
      </c>
      <c r="D15" s="107" t="s">
        <v>114</v>
      </c>
      <c r="E15" s="108" t="s">
        <v>422</v>
      </c>
      <c r="F15" s="105">
        <v>27000</v>
      </c>
      <c r="G15" s="108" t="s">
        <v>197</v>
      </c>
      <c r="H15" s="109">
        <f t="shared" si="0"/>
        <v>27000</v>
      </c>
      <c r="I15" s="109" t="s">
        <v>34</v>
      </c>
      <c r="J15" s="110">
        <v>44561</v>
      </c>
      <c r="K15" s="122" t="s">
        <v>115</v>
      </c>
      <c r="L15" s="109"/>
      <c r="M15" s="109"/>
      <c r="N15" s="111"/>
      <c r="O15" s="112"/>
      <c r="P15" s="112"/>
      <c r="Q15" s="113"/>
    </row>
    <row r="16" spans="1:17" s="114" customFormat="1" ht="126">
      <c r="A16" s="105">
        <v>9</v>
      </c>
      <c r="B16" s="106" t="s">
        <v>42</v>
      </c>
      <c r="C16" s="105" t="s">
        <v>89</v>
      </c>
      <c r="D16" s="107" t="s">
        <v>116</v>
      </c>
      <c r="E16" s="108" t="s">
        <v>201</v>
      </c>
      <c r="F16" s="105">
        <v>27000</v>
      </c>
      <c r="G16" s="108" t="s">
        <v>198</v>
      </c>
      <c r="H16" s="109">
        <f t="shared" si="0"/>
        <v>27000</v>
      </c>
      <c r="I16" s="109" t="s">
        <v>34</v>
      </c>
      <c r="J16" s="110">
        <v>44561</v>
      </c>
      <c r="K16" s="122" t="s">
        <v>115</v>
      </c>
      <c r="L16" s="109"/>
      <c r="M16" s="109"/>
      <c r="N16" s="111"/>
      <c r="O16" s="112"/>
      <c r="P16" s="112"/>
      <c r="Q16" s="113"/>
    </row>
    <row r="17" spans="1:17" s="114" customFormat="1" ht="105">
      <c r="A17" s="105">
        <v>10</v>
      </c>
      <c r="B17" s="106" t="s">
        <v>42</v>
      </c>
      <c r="C17" s="105" t="s">
        <v>89</v>
      </c>
      <c r="D17" s="107" t="s">
        <v>117</v>
      </c>
      <c r="E17" s="108" t="s">
        <v>202</v>
      </c>
      <c r="F17" s="105">
        <v>27000</v>
      </c>
      <c r="G17" s="108" t="s">
        <v>200</v>
      </c>
      <c r="H17" s="109">
        <f t="shared" si="0"/>
        <v>27000</v>
      </c>
      <c r="I17" s="109" t="s">
        <v>34</v>
      </c>
      <c r="J17" s="110">
        <v>44561</v>
      </c>
      <c r="K17" s="115" t="s">
        <v>38</v>
      </c>
      <c r="L17" s="109"/>
      <c r="M17" s="109"/>
      <c r="N17" s="111"/>
      <c r="O17" s="112"/>
      <c r="P17" s="112"/>
      <c r="Q17" s="113"/>
    </row>
    <row r="18" spans="1:17" s="114" customFormat="1" ht="105">
      <c r="A18" s="105">
        <v>11</v>
      </c>
      <c r="B18" s="106" t="s">
        <v>42</v>
      </c>
      <c r="C18" s="105" t="s">
        <v>89</v>
      </c>
      <c r="D18" s="107" t="s">
        <v>118</v>
      </c>
      <c r="E18" s="108" t="s">
        <v>203</v>
      </c>
      <c r="F18" s="105">
        <v>27000</v>
      </c>
      <c r="G18" s="108" t="s">
        <v>204</v>
      </c>
      <c r="H18" s="109">
        <f t="shared" si="0"/>
        <v>27000</v>
      </c>
      <c r="I18" s="109" t="s">
        <v>34</v>
      </c>
      <c r="J18" s="110">
        <v>44561</v>
      </c>
      <c r="K18" s="115" t="s">
        <v>38</v>
      </c>
      <c r="L18" s="109"/>
      <c r="M18" s="109"/>
      <c r="N18" s="111"/>
      <c r="O18" s="112"/>
      <c r="P18" s="112"/>
      <c r="Q18" s="113"/>
    </row>
    <row r="19" spans="1:17" s="114" customFormat="1" ht="105">
      <c r="A19" s="105">
        <v>12</v>
      </c>
      <c r="B19" s="106" t="s">
        <v>42</v>
      </c>
      <c r="C19" s="105" t="s">
        <v>89</v>
      </c>
      <c r="D19" s="107" t="s">
        <v>119</v>
      </c>
      <c r="E19" s="108" t="s">
        <v>205</v>
      </c>
      <c r="F19" s="105">
        <v>27000</v>
      </c>
      <c r="G19" s="108" t="s">
        <v>206</v>
      </c>
      <c r="H19" s="109">
        <f t="shared" si="0"/>
        <v>27000</v>
      </c>
      <c r="I19" s="109" t="s">
        <v>34</v>
      </c>
      <c r="J19" s="110">
        <v>44561</v>
      </c>
      <c r="K19" s="115" t="s">
        <v>38</v>
      </c>
      <c r="L19" s="109"/>
      <c r="M19" s="109"/>
      <c r="N19" s="111"/>
      <c r="O19" s="112"/>
      <c r="P19" s="112"/>
      <c r="Q19" s="113"/>
    </row>
    <row r="20" spans="1:17" s="114" customFormat="1" ht="105">
      <c r="A20" s="105">
        <v>13</v>
      </c>
      <c r="B20" s="106" t="s">
        <v>42</v>
      </c>
      <c r="C20" s="105" t="s">
        <v>89</v>
      </c>
      <c r="D20" s="107" t="s">
        <v>120</v>
      </c>
      <c r="E20" s="108" t="s">
        <v>208</v>
      </c>
      <c r="F20" s="105">
        <v>27000</v>
      </c>
      <c r="G20" s="108" t="s">
        <v>209</v>
      </c>
      <c r="H20" s="109">
        <f t="shared" si="0"/>
        <v>27000</v>
      </c>
      <c r="I20" s="109" t="s">
        <v>34</v>
      </c>
      <c r="J20" s="110">
        <v>44561</v>
      </c>
      <c r="K20" s="115" t="s">
        <v>38</v>
      </c>
      <c r="L20" s="109"/>
      <c r="M20" s="109"/>
      <c r="N20" s="111"/>
      <c r="O20" s="112"/>
      <c r="P20" s="112"/>
      <c r="Q20" s="113"/>
    </row>
    <row r="21" spans="1:17" s="114" customFormat="1" ht="105">
      <c r="A21" s="105">
        <v>14</v>
      </c>
      <c r="B21" s="106" t="s">
        <v>42</v>
      </c>
      <c r="C21" s="105" t="s">
        <v>89</v>
      </c>
      <c r="D21" s="107" t="s">
        <v>121</v>
      </c>
      <c r="E21" s="108" t="s">
        <v>207</v>
      </c>
      <c r="F21" s="105">
        <v>27000</v>
      </c>
      <c r="G21" s="108" t="s">
        <v>434</v>
      </c>
      <c r="H21" s="109">
        <f t="shared" si="0"/>
        <v>27000</v>
      </c>
      <c r="I21" s="109" t="s">
        <v>34</v>
      </c>
      <c r="J21" s="110">
        <v>44561</v>
      </c>
      <c r="K21" s="115" t="s">
        <v>38</v>
      </c>
      <c r="L21" s="109"/>
      <c r="M21" s="109"/>
      <c r="N21" s="111"/>
      <c r="O21" s="112"/>
      <c r="P21" s="112"/>
      <c r="Q21" s="113"/>
    </row>
    <row r="22" spans="1:17" s="114" customFormat="1" ht="105">
      <c r="A22" s="105">
        <v>15</v>
      </c>
      <c r="B22" s="106" t="s">
        <v>42</v>
      </c>
      <c r="C22" s="105" t="s">
        <v>89</v>
      </c>
      <c r="D22" s="107" t="s">
        <v>122</v>
      </c>
      <c r="E22" s="108" t="s">
        <v>210</v>
      </c>
      <c r="F22" s="105">
        <v>27000</v>
      </c>
      <c r="G22" s="108" t="s">
        <v>211</v>
      </c>
      <c r="H22" s="109">
        <f t="shared" si="0"/>
        <v>27000</v>
      </c>
      <c r="I22" s="109" t="s">
        <v>34</v>
      </c>
      <c r="J22" s="110">
        <v>44561</v>
      </c>
      <c r="K22" s="115" t="s">
        <v>38</v>
      </c>
      <c r="L22" s="109"/>
      <c r="M22" s="109"/>
      <c r="N22" s="111"/>
      <c r="O22" s="112"/>
      <c r="P22" s="112"/>
      <c r="Q22" s="113"/>
    </row>
    <row r="23" spans="1:17" s="114" customFormat="1" ht="84">
      <c r="A23" s="105">
        <v>16</v>
      </c>
      <c r="B23" s="106" t="s">
        <v>42</v>
      </c>
      <c r="C23" s="105" t="s">
        <v>89</v>
      </c>
      <c r="D23" s="107" t="s">
        <v>123</v>
      </c>
      <c r="E23" s="108" t="s">
        <v>124</v>
      </c>
      <c r="F23" s="105">
        <v>27000</v>
      </c>
      <c r="G23" s="108" t="s">
        <v>199</v>
      </c>
      <c r="H23" s="109">
        <f t="shared" si="0"/>
        <v>27000</v>
      </c>
      <c r="I23" s="109" t="s">
        <v>34</v>
      </c>
      <c r="J23" s="110">
        <v>44561</v>
      </c>
      <c r="K23" s="115" t="s">
        <v>38</v>
      </c>
      <c r="L23" s="109"/>
      <c r="M23" s="109"/>
      <c r="N23" s="111"/>
      <c r="O23" s="112"/>
      <c r="P23" s="112"/>
      <c r="Q23" s="113"/>
    </row>
    <row r="24" spans="1:17" s="114" customFormat="1" ht="105">
      <c r="A24" s="105">
        <v>17</v>
      </c>
      <c r="B24" s="106" t="s">
        <v>42</v>
      </c>
      <c r="C24" s="105" t="s">
        <v>89</v>
      </c>
      <c r="D24" s="107" t="s">
        <v>125</v>
      </c>
      <c r="E24" s="108" t="s">
        <v>212</v>
      </c>
      <c r="F24" s="105">
        <v>27000</v>
      </c>
      <c r="G24" s="108" t="s">
        <v>213</v>
      </c>
      <c r="H24" s="109">
        <f t="shared" si="0"/>
        <v>27000</v>
      </c>
      <c r="I24" s="109" t="s">
        <v>34</v>
      </c>
      <c r="J24" s="110">
        <v>44561</v>
      </c>
      <c r="K24" s="115" t="s">
        <v>38</v>
      </c>
      <c r="L24" s="109"/>
      <c r="M24" s="109"/>
      <c r="N24" s="111"/>
      <c r="O24" s="112"/>
      <c r="P24" s="112"/>
      <c r="Q24" s="113"/>
    </row>
    <row r="25" spans="1:17" s="114" customFormat="1" ht="105">
      <c r="A25" s="105">
        <v>18</v>
      </c>
      <c r="B25" s="106" t="s">
        <v>42</v>
      </c>
      <c r="C25" s="105" t="s">
        <v>89</v>
      </c>
      <c r="D25" s="107" t="s">
        <v>90</v>
      </c>
      <c r="E25" s="108" t="s">
        <v>214</v>
      </c>
      <c r="F25" s="105">
        <v>27000</v>
      </c>
      <c r="G25" s="108" t="s">
        <v>240</v>
      </c>
      <c r="H25" s="109">
        <v>27000</v>
      </c>
      <c r="I25" s="109" t="s">
        <v>34</v>
      </c>
      <c r="J25" s="110">
        <v>44561</v>
      </c>
      <c r="K25" s="109" t="s">
        <v>26</v>
      </c>
      <c r="L25" s="109"/>
      <c r="M25" s="109"/>
      <c r="N25" s="111"/>
      <c r="O25" s="112"/>
      <c r="P25" s="112"/>
      <c r="Q25" s="113"/>
    </row>
    <row r="26" spans="1:17" s="114" customFormat="1" ht="84">
      <c r="A26" s="105">
        <v>19</v>
      </c>
      <c r="B26" s="106" t="s">
        <v>42</v>
      </c>
      <c r="C26" s="105" t="s">
        <v>89</v>
      </c>
      <c r="D26" s="107" t="s">
        <v>91</v>
      </c>
      <c r="E26" s="108" t="s">
        <v>215</v>
      </c>
      <c r="F26" s="105">
        <v>27000</v>
      </c>
      <c r="G26" s="108" t="s">
        <v>241</v>
      </c>
      <c r="H26" s="109">
        <v>27000</v>
      </c>
      <c r="I26" s="109" t="s">
        <v>34</v>
      </c>
      <c r="J26" s="110">
        <v>44561</v>
      </c>
      <c r="K26" s="109" t="s">
        <v>26</v>
      </c>
      <c r="L26" s="109"/>
      <c r="M26" s="109"/>
      <c r="N26" s="111"/>
      <c r="O26" s="112"/>
      <c r="P26" s="112"/>
      <c r="Q26" s="113"/>
    </row>
    <row r="27" spans="1:17" s="114" customFormat="1" ht="105">
      <c r="A27" s="105">
        <v>20</v>
      </c>
      <c r="B27" s="106" t="s">
        <v>42</v>
      </c>
      <c r="C27" s="105" t="s">
        <v>89</v>
      </c>
      <c r="D27" s="107" t="s">
        <v>92</v>
      </c>
      <c r="E27" s="108" t="s">
        <v>216</v>
      </c>
      <c r="F27" s="105">
        <v>27000</v>
      </c>
      <c r="G27" s="108" t="s">
        <v>242</v>
      </c>
      <c r="H27" s="109">
        <v>27000</v>
      </c>
      <c r="I27" s="109" t="s">
        <v>34</v>
      </c>
      <c r="J27" s="110">
        <v>44561</v>
      </c>
      <c r="K27" s="109" t="s">
        <v>26</v>
      </c>
      <c r="L27" s="109"/>
      <c r="M27" s="109"/>
      <c r="N27" s="111"/>
      <c r="O27" s="112"/>
      <c r="P27" s="112"/>
      <c r="Q27" s="113"/>
    </row>
    <row r="28" spans="1:17" s="114" customFormat="1" ht="84">
      <c r="A28" s="105">
        <v>21</v>
      </c>
      <c r="B28" s="106" t="s">
        <v>42</v>
      </c>
      <c r="C28" s="105" t="s">
        <v>89</v>
      </c>
      <c r="D28" s="107" t="s">
        <v>93</v>
      </c>
      <c r="E28" s="108" t="s">
        <v>217</v>
      </c>
      <c r="F28" s="105">
        <v>27000</v>
      </c>
      <c r="G28" s="108" t="s">
        <v>243</v>
      </c>
      <c r="H28" s="109">
        <v>27000</v>
      </c>
      <c r="I28" s="109" t="s">
        <v>34</v>
      </c>
      <c r="J28" s="110">
        <v>44561</v>
      </c>
      <c r="K28" s="109" t="s">
        <v>26</v>
      </c>
      <c r="L28" s="109"/>
      <c r="M28" s="109"/>
      <c r="N28" s="111"/>
      <c r="O28" s="112"/>
      <c r="P28" s="112"/>
      <c r="Q28" s="113"/>
    </row>
    <row r="29" spans="1:17" s="114" customFormat="1" ht="126">
      <c r="A29" s="105">
        <v>22</v>
      </c>
      <c r="B29" s="106" t="s">
        <v>42</v>
      </c>
      <c r="C29" s="105" t="s">
        <v>89</v>
      </c>
      <c r="D29" s="107" t="s">
        <v>94</v>
      </c>
      <c r="E29" s="108" t="s">
        <v>218</v>
      </c>
      <c r="F29" s="105">
        <v>27000</v>
      </c>
      <c r="G29" s="108" t="s">
        <v>244</v>
      </c>
      <c r="H29" s="109">
        <v>27000</v>
      </c>
      <c r="I29" s="109" t="s">
        <v>34</v>
      </c>
      <c r="J29" s="110">
        <v>44561</v>
      </c>
      <c r="K29" s="109" t="s">
        <v>26</v>
      </c>
      <c r="L29" s="109"/>
      <c r="M29" s="109"/>
      <c r="N29" s="111"/>
      <c r="O29" s="112"/>
      <c r="P29" s="112"/>
      <c r="Q29" s="113"/>
    </row>
    <row r="30" spans="1:17" s="114" customFormat="1" ht="105">
      <c r="A30" s="105">
        <v>23</v>
      </c>
      <c r="B30" s="106" t="s">
        <v>42</v>
      </c>
      <c r="C30" s="105" t="s">
        <v>89</v>
      </c>
      <c r="D30" s="107" t="s">
        <v>95</v>
      </c>
      <c r="E30" s="108" t="s">
        <v>219</v>
      </c>
      <c r="F30" s="105">
        <v>27000</v>
      </c>
      <c r="G30" s="108" t="s">
        <v>245</v>
      </c>
      <c r="H30" s="109">
        <v>27000</v>
      </c>
      <c r="I30" s="109" t="s">
        <v>34</v>
      </c>
      <c r="J30" s="110">
        <v>44561</v>
      </c>
      <c r="K30" s="109" t="s">
        <v>26</v>
      </c>
      <c r="L30" s="109"/>
      <c r="M30" s="109"/>
      <c r="N30" s="111"/>
      <c r="O30" s="112"/>
      <c r="P30" s="112"/>
      <c r="Q30" s="113"/>
    </row>
    <row r="31" spans="1:17" s="114" customFormat="1" ht="105">
      <c r="A31" s="105">
        <v>24</v>
      </c>
      <c r="B31" s="106" t="s">
        <v>42</v>
      </c>
      <c r="C31" s="105" t="s">
        <v>89</v>
      </c>
      <c r="D31" s="107" t="s">
        <v>96</v>
      </c>
      <c r="E31" s="108" t="s">
        <v>220</v>
      </c>
      <c r="F31" s="105">
        <v>27000</v>
      </c>
      <c r="G31" s="108" t="s">
        <v>484</v>
      </c>
      <c r="H31" s="109">
        <v>27000</v>
      </c>
      <c r="I31" s="109" t="s">
        <v>34</v>
      </c>
      <c r="J31" s="110">
        <v>44561</v>
      </c>
      <c r="K31" s="109" t="s">
        <v>26</v>
      </c>
      <c r="L31" s="109"/>
      <c r="M31" s="109"/>
      <c r="N31" s="111"/>
      <c r="O31" s="112"/>
      <c r="P31" s="112"/>
      <c r="Q31" s="113"/>
    </row>
    <row r="32" spans="1:17" s="114" customFormat="1" ht="84">
      <c r="A32" s="105">
        <v>25</v>
      </c>
      <c r="B32" s="106" t="s">
        <v>42</v>
      </c>
      <c r="C32" s="105" t="s">
        <v>89</v>
      </c>
      <c r="D32" s="107" t="s">
        <v>97</v>
      </c>
      <c r="E32" s="108" t="s">
        <v>221</v>
      </c>
      <c r="F32" s="105">
        <v>27000</v>
      </c>
      <c r="G32" s="108" t="s">
        <v>246</v>
      </c>
      <c r="H32" s="109">
        <v>27000</v>
      </c>
      <c r="I32" s="109" t="s">
        <v>34</v>
      </c>
      <c r="J32" s="110">
        <v>44561</v>
      </c>
      <c r="K32" s="109" t="s">
        <v>26</v>
      </c>
      <c r="L32" s="109"/>
      <c r="M32" s="109"/>
      <c r="N32" s="111"/>
      <c r="O32" s="112"/>
      <c r="P32" s="112"/>
      <c r="Q32" s="113"/>
    </row>
    <row r="33" spans="1:17" s="114" customFormat="1" ht="105">
      <c r="A33" s="105">
        <v>26</v>
      </c>
      <c r="B33" s="106" t="s">
        <v>42</v>
      </c>
      <c r="C33" s="105" t="s">
        <v>89</v>
      </c>
      <c r="D33" s="107" t="s">
        <v>98</v>
      </c>
      <c r="E33" s="108" t="s">
        <v>222</v>
      </c>
      <c r="F33" s="105">
        <v>27000</v>
      </c>
      <c r="G33" s="108" t="s">
        <v>535</v>
      </c>
      <c r="H33" s="109">
        <v>27000</v>
      </c>
      <c r="I33" s="109" t="s">
        <v>34</v>
      </c>
      <c r="J33" s="110">
        <v>44561</v>
      </c>
      <c r="K33" s="109" t="s">
        <v>26</v>
      </c>
      <c r="L33" s="109"/>
      <c r="M33" s="109"/>
      <c r="N33" s="111"/>
      <c r="O33" s="112"/>
      <c r="P33" s="112"/>
      <c r="Q33" s="113"/>
    </row>
    <row r="34" spans="1:17" s="114" customFormat="1" ht="105">
      <c r="A34" s="105">
        <v>27</v>
      </c>
      <c r="B34" s="106" t="s">
        <v>42</v>
      </c>
      <c r="C34" s="105" t="s">
        <v>89</v>
      </c>
      <c r="D34" s="107" t="s">
        <v>99</v>
      </c>
      <c r="E34" s="108" t="s">
        <v>224</v>
      </c>
      <c r="F34" s="105">
        <v>27000</v>
      </c>
      <c r="G34" s="108" t="s">
        <v>247</v>
      </c>
      <c r="H34" s="109">
        <v>27000</v>
      </c>
      <c r="I34" s="109" t="s">
        <v>34</v>
      </c>
      <c r="J34" s="110">
        <v>44561</v>
      </c>
      <c r="K34" s="109" t="s">
        <v>26</v>
      </c>
      <c r="L34" s="109"/>
      <c r="M34" s="109"/>
      <c r="N34" s="111"/>
      <c r="O34" s="112"/>
      <c r="P34" s="112"/>
      <c r="Q34" s="113"/>
    </row>
    <row r="35" spans="1:17" s="114" customFormat="1" ht="105">
      <c r="A35" s="105">
        <v>28</v>
      </c>
      <c r="B35" s="106" t="s">
        <v>42</v>
      </c>
      <c r="C35" s="105" t="s">
        <v>89</v>
      </c>
      <c r="D35" s="107" t="s">
        <v>100</v>
      </c>
      <c r="E35" s="108" t="s">
        <v>223</v>
      </c>
      <c r="F35" s="105">
        <v>27000</v>
      </c>
      <c r="G35" s="108" t="s">
        <v>248</v>
      </c>
      <c r="H35" s="109">
        <v>27000</v>
      </c>
      <c r="I35" s="109" t="s">
        <v>34</v>
      </c>
      <c r="J35" s="110">
        <v>44561</v>
      </c>
      <c r="K35" s="109" t="s">
        <v>26</v>
      </c>
      <c r="L35" s="109"/>
      <c r="M35" s="109"/>
      <c r="N35" s="111"/>
      <c r="O35" s="112"/>
      <c r="P35" s="112"/>
      <c r="Q35" s="113"/>
    </row>
    <row r="36" spans="1:17" s="114" customFormat="1" ht="105">
      <c r="A36" s="105">
        <v>29</v>
      </c>
      <c r="B36" s="106" t="s">
        <v>42</v>
      </c>
      <c r="C36" s="105" t="s">
        <v>89</v>
      </c>
      <c r="D36" s="107" t="s">
        <v>101</v>
      </c>
      <c r="E36" s="108" t="s">
        <v>225</v>
      </c>
      <c r="F36" s="105">
        <v>27000</v>
      </c>
      <c r="G36" s="108" t="s">
        <v>881</v>
      </c>
      <c r="H36" s="109">
        <v>27000</v>
      </c>
      <c r="I36" s="109" t="s">
        <v>34</v>
      </c>
      <c r="J36" s="110">
        <v>44561</v>
      </c>
      <c r="K36" s="109" t="s">
        <v>26</v>
      </c>
      <c r="L36" s="109"/>
      <c r="M36" s="109"/>
      <c r="N36" s="111"/>
      <c r="O36" s="112"/>
      <c r="P36" s="112"/>
      <c r="Q36" s="113"/>
    </row>
    <row r="37" spans="1:17" s="114" customFormat="1" ht="105">
      <c r="A37" s="105">
        <v>30</v>
      </c>
      <c r="B37" s="106" t="s">
        <v>42</v>
      </c>
      <c r="C37" s="105" t="s">
        <v>89</v>
      </c>
      <c r="D37" s="107" t="s">
        <v>102</v>
      </c>
      <c r="E37" s="108" t="s">
        <v>226</v>
      </c>
      <c r="F37" s="105">
        <v>27000</v>
      </c>
      <c r="G37" s="108" t="s">
        <v>249</v>
      </c>
      <c r="H37" s="109">
        <v>27000</v>
      </c>
      <c r="I37" s="109" t="s">
        <v>34</v>
      </c>
      <c r="J37" s="110">
        <v>44561</v>
      </c>
      <c r="K37" s="109" t="s">
        <v>26</v>
      </c>
      <c r="L37" s="109"/>
      <c r="M37" s="109"/>
      <c r="N37" s="111"/>
      <c r="O37" s="112"/>
      <c r="P37" s="112"/>
      <c r="Q37" s="113"/>
    </row>
    <row r="38" spans="1:17" s="114" customFormat="1" ht="105">
      <c r="A38" s="105">
        <v>31</v>
      </c>
      <c r="B38" s="106" t="s">
        <v>42</v>
      </c>
      <c r="C38" s="105" t="s">
        <v>89</v>
      </c>
      <c r="D38" s="107" t="s">
        <v>103</v>
      </c>
      <c r="E38" s="108" t="s">
        <v>227</v>
      </c>
      <c r="F38" s="105">
        <v>27000</v>
      </c>
      <c r="G38" s="108" t="s">
        <v>250</v>
      </c>
      <c r="H38" s="109">
        <v>27000</v>
      </c>
      <c r="I38" s="109" t="s">
        <v>34</v>
      </c>
      <c r="J38" s="110">
        <v>44561</v>
      </c>
      <c r="K38" s="109" t="s">
        <v>26</v>
      </c>
      <c r="L38" s="109"/>
      <c r="M38" s="109"/>
      <c r="N38" s="111"/>
      <c r="O38" s="112"/>
      <c r="P38" s="112"/>
      <c r="Q38" s="113"/>
    </row>
    <row r="39" spans="1:17" s="114" customFormat="1" ht="105">
      <c r="A39" s="105">
        <v>32</v>
      </c>
      <c r="B39" s="106" t="s">
        <v>42</v>
      </c>
      <c r="C39" s="105" t="s">
        <v>89</v>
      </c>
      <c r="D39" s="107" t="s">
        <v>104</v>
      </c>
      <c r="E39" s="108" t="s">
        <v>228</v>
      </c>
      <c r="F39" s="105">
        <v>27000</v>
      </c>
      <c r="G39" s="108" t="s">
        <v>251</v>
      </c>
      <c r="H39" s="109">
        <v>27000</v>
      </c>
      <c r="I39" s="109" t="s">
        <v>34</v>
      </c>
      <c r="J39" s="110">
        <v>44561</v>
      </c>
      <c r="K39" s="109" t="s">
        <v>26</v>
      </c>
      <c r="L39" s="109"/>
      <c r="M39" s="109"/>
      <c r="N39" s="111"/>
      <c r="O39" s="112"/>
      <c r="P39" s="112"/>
      <c r="Q39" s="113"/>
    </row>
    <row r="40" spans="1:17" s="114" customFormat="1" ht="105">
      <c r="A40" s="105">
        <v>33</v>
      </c>
      <c r="B40" s="106" t="s">
        <v>42</v>
      </c>
      <c r="C40" s="105" t="s">
        <v>89</v>
      </c>
      <c r="D40" s="107" t="s">
        <v>105</v>
      </c>
      <c r="E40" s="108" t="s">
        <v>229</v>
      </c>
      <c r="F40" s="105">
        <v>27000</v>
      </c>
      <c r="G40" s="108" t="s">
        <v>406</v>
      </c>
      <c r="H40" s="109">
        <v>27000</v>
      </c>
      <c r="I40" s="109" t="s">
        <v>34</v>
      </c>
      <c r="J40" s="110">
        <v>44561</v>
      </c>
      <c r="K40" s="109" t="s">
        <v>26</v>
      </c>
      <c r="L40" s="109"/>
      <c r="M40" s="109"/>
      <c r="N40" s="111"/>
      <c r="O40" s="112"/>
      <c r="P40" s="112"/>
      <c r="Q40" s="113"/>
    </row>
    <row r="41" spans="1:17" s="114" customFormat="1" ht="105">
      <c r="A41" s="105">
        <v>34</v>
      </c>
      <c r="B41" s="106" t="s">
        <v>42</v>
      </c>
      <c r="C41" s="105" t="s">
        <v>89</v>
      </c>
      <c r="D41" s="107" t="s">
        <v>106</v>
      </c>
      <c r="E41" s="108" t="s">
        <v>230</v>
      </c>
      <c r="F41" s="105">
        <v>27000</v>
      </c>
      <c r="G41" s="108" t="s">
        <v>252</v>
      </c>
      <c r="H41" s="109">
        <v>27000</v>
      </c>
      <c r="I41" s="109" t="s">
        <v>34</v>
      </c>
      <c r="J41" s="110">
        <v>44561</v>
      </c>
      <c r="K41" s="109" t="s">
        <v>26</v>
      </c>
      <c r="L41" s="109"/>
      <c r="M41" s="109"/>
      <c r="N41" s="111"/>
      <c r="O41" s="112"/>
      <c r="P41" s="112"/>
      <c r="Q41" s="113"/>
    </row>
    <row r="42" spans="1:17" s="114" customFormat="1" ht="105">
      <c r="A42" s="105">
        <v>35</v>
      </c>
      <c r="B42" s="106" t="s">
        <v>42</v>
      </c>
      <c r="C42" s="105" t="s">
        <v>89</v>
      </c>
      <c r="D42" s="107" t="s">
        <v>107</v>
      </c>
      <c r="E42" s="108" t="s">
        <v>231</v>
      </c>
      <c r="F42" s="105">
        <v>27000</v>
      </c>
      <c r="G42" s="108" t="s">
        <v>253</v>
      </c>
      <c r="H42" s="109">
        <v>27000</v>
      </c>
      <c r="I42" s="109" t="s">
        <v>34</v>
      </c>
      <c r="J42" s="110">
        <v>44561</v>
      </c>
      <c r="K42" s="109" t="s">
        <v>26</v>
      </c>
      <c r="L42" s="109"/>
      <c r="M42" s="109"/>
      <c r="N42" s="111"/>
      <c r="O42" s="112"/>
      <c r="P42" s="112"/>
      <c r="Q42" s="113"/>
    </row>
    <row r="43" spans="1:17" s="114" customFormat="1" ht="126">
      <c r="A43" s="105">
        <v>36</v>
      </c>
      <c r="B43" s="106" t="s">
        <v>42</v>
      </c>
      <c r="C43" s="105" t="s">
        <v>89</v>
      </c>
      <c r="D43" s="107" t="s">
        <v>142</v>
      </c>
      <c r="E43" s="108" t="s">
        <v>232</v>
      </c>
      <c r="F43" s="105">
        <v>27000</v>
      </c>
      <c r="G43" s="108" t="s">
        <v>254</v>
      </c>
      <c r="H43" s="109">
        <v>27000</v>
      </c>
      <c r="I43" s="109" t="s">
        <v>34</v>
      </c>
      <c r="J43" s="110">
        <v>44561</v>
      </c>
      <c r="K43" s="122" t="s">
        <v>61</v>
      </c>
      <c r="L43" s="109"/>
      <c r="M43" s="109"/>
      <c r="N43" s="111"/>
      <c r="O43" s="112"/>
      <c r="P43" s="112"/>
      <c r="Q43" s="113"/>
    </row>
    <row r="44" spans="1:17" s="190" customFormat="1" ht="84">
      <c r="A44" s="105">
        <v>37</v>
      </c>
      <c r="B44" s="183" t="s">
        <v>42</v>
      </c>
      <c r="C44" s="182" t="s">
        <v>89</v>
      </c>
      <c r="D44" s="184" t="s">
        <v>130</v>
      </c>
      <c r="E44" s="185" t="s">
        <v>233</v>
      </c>
      <c r="F44" s="182">
        <v>27000</v>
      </c>
      <c r="G44" s="185" t="s">
        <v>255</v>
      </c>
      <c r="H44" s="186">
        <v>27000</v>
      </c>
      <c r="I44" s="186" t="s">
        <v>34</v>
      </c>
      <c r="J44" s="187">
        <v>44561</v>
      </c>
      <c r="K44" s="181" t="s">
        <v>61</v>
      </c>
      <c r="L44" s="186"/>
      <c r="M44" s="186"/>
      <c r="N44" s="191" t="s">
        <v>366</v>
      </c>
      <c r="O44" s="188"/>
      <c r="P44" s="188"/>
      <c r="Q44" s="189"/>
    </row>
    <row r="45" spans="1:17" s="114" customFormat="1" ht="84">
      <c r="A45" s="105">
        <v>38</v>
      </c>
      <c r="B45" s="106" t="s">
        <v>42</v>
      </c>
      <c r="C45" s="105" t="s">
        <v>89</v>
      </c>
      <c r="D45" s="107" t="s">
        <v>131</v>
      </c>
      <c r="E45" s="108" t="s">
        <v>233</v>
      </c>
      <c r="F45" s="105">
        <v>27000</v>
      </c>
      <c r="G45" s="108" t="s">
        <v>429</v>
      </c>
      <c r="H45" s="109">
        <v>27000</v>
      </c>
      <c r="I45" s="109" t="s">
        <v>34</v>
      </c>
      <c r="J45" s="110">
        <v>44561</v>
      </c>
      <c r="K45" s="122" t="s">
        <v>61</v>
      </c>
      <c r="L45" s="109"/>
      <c r="M45" s="109"/>
      <c r="N45" s="111"/>
      <c r="O45" s="112"/>
      <c r="P45" s="112"/>
      <c r="Q45" s="113"/>
    </row>
    <row r="46" spans="1:17" s="114" customFormat="1" ht="84">
      <c r="A46" s="105">
        <v>39</v>
      </c>
      <c r="B46" s="106" t="s">
        <v>42</v>
      </c>
      <c r="C46" s="105" t="s">
        <v>89</v>
      </c>
      <c r="D46" s="107" t="s">
        <v>132</v>
      </c>
      <c r="E46" s="108" t="s">
        <v>233</v>
      </c>
      <c r="F46" s="105">
        <v>27000</v>
      </c>
      <c r="G46" s="108" t="s">
        <v>407</v>
      </c>
      <c r="H46" s="109">
        <v>27000</v>
      </c>
      <c r="I46" s="109" t="s">
        <v>34</v>
      </c>
      <c r="J46" s="110">
        <v>44561</v>
      </c>
      <c r="K46" s="122" t="s">
        <v>61</v>
      </c>
      <c r="L46" s="109"/>
      <c r="M46" s="109"/>
      <c r="N46" s="111"/>
      <c r="O46" s="112"/>
      <c r="P46" s="112"/>
      <c r="Q46" s="113"/>
    </row>
    <row r="47" spans="1:17" s="114" customFormat="1" ht="84">
      <c r="A47" s="105">
        <v>40</v>
      </c>
      <c r="B47" s="106" t="s">
        <v>42</v>
      </c>
      <c r="C47" s="105" t="s">
        <v>89</v>
      </c>
      <c r="D47" s="107" t="s">
        <v>133</v>
      </c>
      <c r="E47" s="108" t="s">
        <v>233</v>
      </c>
      <c r="F47" s="105">
        <v>27000</v>
      </c>
      <c r="G47" s="108" t="s">
        <v>431</v>
      </c>
      <c r="H47" s="109">
        <v>27000</v>
      </c>
      <c r="I47" s="109" t="s">
        <v>34</v>
      </c>
      <c r="J47" s="110">
        <v>44561</v>
      </c>
      <c r="K47" s="122" t="s">
        <v>61</v>
      </c>
      <c r="L47" s="109"/>
      <c r="M47" s="109"/>
      <c r="N47" s="111"/>
      <c r="O47" s="112"/>
      <c r="P47" s="112"/>
      <c r="Q47" s="113"/>
    </row>
    <row r="48" spans="1:17" s="114" customFormat="1" ht="84">
      <c r="A48" s="105">
        <v>41</v>
      </c>
      <c r="B48" s="106" t="s">
        <v>42</v>
      </c>
      <c r="C48" s="105" t="s">
        <v>89</v>
      </c>
      <c r="D48" s="107" t="s">
        <v>134</v>
      </c>
      <c r="E48" s="108" t="s">
        <v>233</v>
      </c>
      <c r="F48" s="105">
        <v>27000</v>
      </c>
      <c r="G48" s="108" t="s">
        <v>408</v>
      </c>
      <c r="H48" s="109">
        <v>27000</v>
      </c>
      <c r="I48" s="109" t="s">
        <v>34</v>
      </c>
      <c r="J48" s="110">
        <v>44561</v>
      </c>
      <c r="K48" s="122" t="s">
        <v>61</v>
      </c>
      <c r="L48" s="109"/>
      <c r="M48" s="109"/>
      <c r="N48" s="111"/>
      <c r="O48" s="112"/>
      <c r="P48" s="112"/>
      <c r="Q48" s="113"/>
    </row>
    <row r="49" spans="1:17" s="114" customFormat="1" ht="126">
      <c r="A49" s="105">
        <v>42</v>
      </c>
      <c r="B49" s="106" t="s">
        <v>42</v>
      </c>
      <c r="C49" s="105" t="s">
        <v>89</v>
      </c>
      <c r="D49" s="107" t="s">
        <v>135</v>
      </c>
      <c r="E49" s="108" t="s">
        <v>233</v>
      </c>
      <c r="F49" s="105">
        <v>27000</v>
      </c>
      <c r="G49" s="108" t="s">
        <v>138</v>
      </c>
      <c r="H49" s="109">
        <v>27000</v>
      </c>
      <c r="I49" s="109" t="s">
        <v>34</v>
      </c>
      <c r="J49" s="110">
        <v>44561</v>
      </c>
      <c r="K49" s="122" t="s">
        <v>61</v>
      </c>
      <c r="L49" s="109"/>
      <c r="M49" s="109"/>
      <c r="N49" s="111"/>
      <c r="O49" s="112"/>
      <c r="P49" s="112"/>
      <c r="Q49" s="113"/>
    </row>
    <row r="50" spans="1:17" s="114" customFormat="1" ht="84">
      <c r="A50" s="105">
        <v>43</v>
      </c>
      <c r="B50" s="106" t="s">
        <v>42</v>
      </c>
      <c r="C50" s="105" t="s">
        <v>89</v>
      </c>
      <c r="D50" s="107" t="s">
        <v>136</v>
      </c>
      <c r="E50" s="108" t="s">
        <v>233</v>
      </c>
      <c r="F50" s="105">
        <v>27000</v>
      </c>
      <c r="G50" s="108" t="s">
        <v>436</v>
      </c>
      <c r="H50" s="109">
        <v>27000</v>
      </c>
      <c r="I50" s="109" t="s">
        <v>34</v>
      </c>
      <c r="J50" s="110">
        <v>44561</v>
      </c>
      <c r="K50" s="122" t="s">
        <v>61</v>
      </c>
      <c r="L50" s="109"/>
      <c r="M50" s="109"/>
      <c r="N50" s="111"/>
      <c r="O50" s="112"/>
      <c r="P50" s="112"/>
      <c r="Q50" s="113"/>
    </row>
    <row r="51" spans="1:17" s="114" customFormat="1" ht="84">
      <c r="A51" s="105">
        <v>44</v>
      </c>
      <c r="B51" s="106" t="s">
        <v>42</v>
      </c>
      <c r="C51" s="105" t="s">
        <v>89</v>
      </c>
      <c r="D51" s="107" t="s">
        <v>137</v>
      </c>
      <c r="E51" s="108" t="s">
        <v>233</v>
      </c>
      <c r="F51" s="105">
        <v>27000</v>
      </c>
      <c r="G51" s="108" t="s">
        <v>485</v>
      </c>
      <c r="H51" s="109">
        <v>27000</v>
      </c>
      <c r="I51" s="109" t="s">
        <v>34</v>
      </c>
      <c r="J51" s="110">
        <v>44561</v>
      </c>
      <c r="K51" s="122" t="s">
        <v>61</v>
      </c>
      <c r="L51" s="109"/>
      <c r="M51" s="109"/>
      <c r="N51" s="111"/>
      <c r="O51" s="112"/>
      <c r="P51" s="112"/>
      <c r="Q51" s="113"/>
    </row>
    <row r="52" spans="1:17" s="114" customFormat="1" ht="126">
      <c r="A52" s="105">
        <v>45</v>
      </c>
      <c r="B52" s="106" t="s">
        <v>42</v>
      </c>
      <c r="C52" s="105" t="s">
        <v>89</v>
      </c>
      <c r="D52" s="107" t="s">
        <v>139</v>
      </c>
      <c r="E52" s="108" t="s">
        <v>232</v>
      </c>
      <c r="F52" s="105">
        <v>27000</v>
      </c>
      <c r="G52" s="108" t="s">
        <v>394</v>
      </c>
      <c r="H52" s="109">
        <v>27000</v>
      </c>
      <c r="I52" s="109" t="s">
        <v>34</v>
      </c>
      <c r="J52" s="110">
        <v>44561</v>
      </c>
      <c r="K52" s="122" t="s">
        <v>61</v>
      </c>
      <c r="L52" s="109"/>
      <c r="M52" s="109"/>
      <c r="N52" s="111"/>
      <c r="O52" s="112"/>
      <c r="P52" s="112"/>
      <c r="Q52" s="113"/>
    </row>
    <row r="53" spans="1:17" s="114" customFormat="1" ht="126">
      <c r="A53" s="105">
        <v>46</v>
      </c>
      <c r="B53" s="106" t="s">
        <v>42</v>
      </c>
      <c r="C53" s="105" t="s">
        <v>89</v>
      </c>
      <c r="D53" s="107" t="s">
        <v>140</v>
      </c>
      <c r="E53" s="108" t="s">
        <v>232</v>
      </c>
      <c r="F53" s="105">
        <v>27000</v>
      </c>
      <c r="G53" s="108" t="s">
        <v>409</v>
      </c>
      <c r="H53" s="109">
        <v>27000</v>
      </c>
      <c r="I53" s="109" t="s">
        <v>34</v>
      </c>
      <c r="J53" s="110">
        <v>44561</v>
      </c>
      <c r="K53" s="122" t="s">
        <v>61</v>
      </c>
      <c r="L53" s="109"/>
      <c r="M53" s="109"/>
      <c r="N53" s="111"/>
      <c r="O53" s="112"/>
      <c r="P53" s="112"/>
      <c r="Q53" s="113"/>
    </row>
    <row r="54" spans="1:17" s="114" customFormat="1" ht="105">
      <c r="A54" s="105">
        <v>47</v>
      </c>
      <c r="B54" s="106" t="s">
        <v>42</v>
      </c>
      <c r="C54" s="105" t="s">
        <v>89</v>
      </c>
      <c r="D54" s="107" t="s">
        <v>141</v>
      </c>
      <c r="E54" s="108" t="s">
        <v>234</v>
      </c>
      <c r="F54" s="105">
        <v>27000</v>
      </c>
      <c r="G54" s="108" t="s">
        <v>410</v>
      </c>
      <c r="H54" s="109">
        <v>27000</v>
      </c>
      <c r="I54" s="109" t="s">
        <v>34</v>
      </c>
      <c r="J54" s="110">
        <v>44561</v>
      </c>
      <c r="K54" s="122" t="s">
        <v>61</v>
      </c>
      <c r="L54" s="109"/>
      <c r="M54" s="109"/>
      <c r="N54" s="111"/>
      <c r="O54" s="112"/>
      <c r="P54" s="112"/>
      <c r="Q54" s="113"/>
    </row>
    <row r="55" spans="1:17" s="114" customFormat="1" ht="126">
      <c r="A55" s="105">
        <v>48</v>
      </c>
      <c r="B55" s="106" t="s">
        <v>42</v>
      </c>
      <c r="C55" s="105" t="s">
        <v>89</v>
      </c>
      <c r="D55" s="107" t="s">
        <v>143</v>
      </c>
      <c r="E55" s="108" t="s">
        <v>232</v>
      </c>
      <c r="F55" s="105">
        <v>27000</v>
      </c>
      <c r="G55" s="108" t="s">
        <v>160</v>
      </c>
      <c r="H55" s="109">
        <v>27000</v>
      </c>
      <c r="I55" s="109" t="s">
        <v>34</v>
      </c>
      <c r="J55" s="110">
        <v>44561</v>
      </c>
      <c r="K55" s="122" t="s">
        <v>61</v>
      </c>
      <c r="L55" s="109"/>
      <c r="M55" s="109"/>
      <c r="N55" s="111"/>
      <c r="O55" s="112"/>
      <c r="P55" s="112"/>
      <c r="Q55" s="113"/>
    </row>
    <row r="56" spans="1:17" s="114" customFormat="1" ht="84">
      <c r="A56" s="105">
        <v>49</v>
      </c>
      <c r="B56" s="106" t="s">
        <v>42</v>
      </c>
      <c r="C56" s="105" t="s">
        <v>89</v>
      </c>
      <c r="D56" s="107" t="s">
        <v>153</v>
      </c>
      <c r="E56" s="108" t="s">
        <v>235</v>
      </c>
      <c r="F56" s="105">
        <v>27000</v>
      </c>
      <c r="G56" s="108" t="s">
        <v>411</v>
      </c>
      <c r="H56" s="109">
        <v>27000</v>
      </c>
      <c r="I56" s="109" t="s">
        <v>34</v>
      </c>
      <c r="J56" s="110">
        <v>44561</v>
      </c>
      <c r="K56" s="122" t="s">
        <v>61</v>
      </c>
      <c r="L56" s="109"/>
      <c r="M56" s="109"/>
      <c r="N56" s="111"/>
      <c r="O56" s="112"/>
      <c r="P56" s="112"/>
      <c r="Q56" s="113"/>
    </row>
    <row r="57" spans="1:17" s="114" customFormat="1" ht="105">
      <c r="A57" s="105">
        <v>50</v>
      </c>
      <c r="B57" s="106" t="s">
        <v>42</v>
      </c>
      <c r="C57" s="105" t="s">
        <v>89</v>
      </c>
      <c r="D57" s="107" t="s">
        <v>154</v>
      </c>
      <c r="E57" s="108" t="s">
        <v>412</v>
      </c>
      <c r="F57" s="105">
        <v>27000</v>
      </c>
      <c r="G57" s="108" t="s">
        <v>413</v>
      </c>
      <c r="H57" s="109">
        <v>27000</v>
      </c>
      <c r="I57" s="109" t="s">
        <v>34</v>
      </c>
      <c r="J57" s="110">
        <v>44561</v>
      </c>
      <c r="K57" s="122" t="s">
        <v>61</v>
      </c>
      <c r="L57" s="109"/>
      <c r="M57" s="109"/>
      <c r="N57" s="111"/>
      <c r="O57" s="112"/>
      <c r="P57" s="112"/>
      <c r="Q57" s="113"/>
    </row>
    <row r="58" spans="1:17" s="114" customFormat="1" ht="84">
      <c r="A58" s="105">
        <v>51</v>
      </c>
      <c r="B58" s="106" t="s">
        <v>42</v>
      </c>
      <c r="C58" s="105" t="s">
        <v>89</v>
      </c>
      <c r="D58" s="107" t="s">
        <v>146</v>
      </c>
      <c r="E58" s="108" t="s">
        <v>423</v>
      </c>
      <c r="F58" s="105">
        <v>27000</v>
      </c>
      <c r="G58" s="108" t="s">
        <v>414</v>
      </c>
      <c r="H58" s="109">
        <v>27000</v>
      </c>
      <c r="I58" s="109" t="s">
        <v>34</v>
      </c>
      <c r="J58" s="110">
        <v>44561</v>
      </c>
      <c r="K58" s="122" t="s">
        <v>61</v>
      </c>
      <c r="L58" s="109"/>
      <c r="M58" s="109"/>
      <c r="N58" s="111"/>
      <c r="O58" s="112"/>
      <c r="P58" s="112"/>
      <c r="Q58" s="113"/>
    </row>
    <row r="59" spans="1:17" s="114" customFormat="1" ht="126">
      <c r="A59" s="105">
        <v>52</v>
      </c>
      <c r="B59" s="106" t="s">
        <v>42</v>
      </c>
      <c r="C59" s="105" t="s">
        <v>89</v>
      </c>
      <c r="D59" s="107" t="s">
        <v>147</v>
      </c>
      <c r="E59" s="108" t="s">
        <v>236</v>
      </c>
      <c r="F59" s="105">
        <v>27000</v>
      </c>
      <c r="G59" s="108" t="s">
        <v>148</v>
      </c>
      <c r="H59" s="109">
        <v>27000</v>
      </c>
      <c r="I59" s="109" t="s">
        <v>34</v>
      </c>
      <c r="J59" s="110">
        <v>44561</v>
      </c>
      <c r="K59" s="122" t="s">
        <v>61</v>
      </c>
      <c r="L59" s="109"/>
      <c r="M59" s="109"/>
      <c r="N59" s="111"/>
      <c r="O59" s="112"/>
      <c r="P59" s="112"/>
      <c r="Q59" s="113"/>
    </row>
    <row r="60" spans="1:17" s="114" customFormat="1" ht="84">
      <c r="A60" s="105">
        <v>53</v>
      </c>
      <c r="B60" s="106" t="s">
        <v>42</v>
      </c>
      <c r="C60" s="105" t="s">
        <v>89</v>
      </c>
      <c r="D60" s="107" t="s">
        <v>151</v>
      </c>
      <c r="E60" s="108" t="s">
        <v>237</v>
      </c>
      <c r="F60" s="105">
        <v>27000</v>
      </c>
      <c r="G60" s="108" t="s">
        <v>415</v>
      </c>
      <c r="H60" s="109">
        <v>27000</v>
      </c>
      <c r="I60" s="109" t="s">
        <v>34</v>
      </c>
      <c r="J60" s="110">
        <v>44561</v>
      </c>
      <c r="K60" s="122" t="s">
        <v>61</v>
      </c>
      <c r="L60" s="109"/>
      <c r="M60" s="109"/>
      <c r="N60" s="111"/>
      <c r="O60" s="112"/>
      <c r="P60" s="112"/>
      <c r="Q60" s="113"/>
    </row>
    <row r="61" spans="1:17" s="114" customFormat="1" ht="84">
      <c r="A61" s="105">
        <v>54</v>
      </c>
      <c r="B61" s="106" t="s">
        <v>42</v>
      </c>
      <c r="C61" s="105" t="s">
        <v>89</v>
      </c>
      <c r="D61" s="107" t="s">
        <v>152</v>
      </c>
      <c r="E61" s="108" t="s">
        <v>237</v>
      </c>
      <c r="F61" s="105">
        <v>27000</v>
      </c>
      <c r="G61" s="108" t="s">
        <v>257</v>
      </c>
      <c r="H61" s="109">
        <v>27000</v>
      </c>
      <c r="I61" s="109" t="s">
        <v>34</v>
      </c>
      <c r="J61" s="110">
        <v>44561</v>
      </c>
      <c r="K61" s="122" t="s">
        <v>61</v>
      </c>
      <c r="L61" s="109"/>
      <c r="M61" s="109"/>
      <c r="N61" s="111"/>
      <c r="O61" s="112"/>
      <c r="P61" s="112"/>
      <c r="Q61" s="113"/>
    </row>
    <row r="62" spans="1:17" s="277" customFormat="1">
      <c r="A62" s="266">
        <v>55</v>
      </c>
      <c r="B62" s="268" t="s">
        <v>42</v>
      </c>
      <c r="C62" s="266"/>
      <c r="D62" s="269" t="s">
        <v>456</v>
      </c>
      <c r="E62" s="270"/>
      <c r="F62" s="266"/>
      <c r="G62" s="270" t="s">
        <v>505</v>
      </c>
      <c r="H62" s="271"/>
      <c r="I62" s="271"/>
      <c r="J62" s="272"/>
      <c r="K62" s="273"/>
      <c r="L62" s="271"/>
      <c r="M62" s="271"/>
      <c r="N62" s="274" t="s">
        <v>504</v>
      </c>
      <c r="O62" s="275"/>
      <c r="P62" s="275"/>
      <c r="Q62" s="276"/>
    </row>
    <row r="63" spans="1:17" s="114" customFormat="1" ht="105">
      <c r="A63" s="105">
        <v>56</v>
      </c>
      <c r="B63" s="106" t="s">
        <v>42</v>
      </c>
      <c r="C63" s="105" t="s">
        <v>89</v>
      </c>
      <c r="D63" s="107" t="s">
        <v>156</v>
      </c>
      <c r="E63" s="108" t="s">
        <v>238</v>
      </c>
      <c r="F63" s="105">
        <v>27000</v>
      </c>
      <c r="G63" s="108" t="s">
        <v>256</v>
      </c>
      <c r="H63" s="109">
        <v>27000</v>
      </c>
      <c r="I63" s="109" t="s">
        <v>34</v>
      </c>
      <c r="J63" s="110">
        <v>44561</v>
      </c>
      <c r="K63" s="122" t="s">
        <v>61</v>
      </c>
      <c r="L63" s="109"/>
      <c r="M63" s="109"/>
      <c r="N63" s="111"/>
      <c r="O63" s="112"/>
      <c r="P63" s="112"/>
      <c r="Q63" s="113"/>
    </row>
    <row r="64" spans="1:17" s="114" customFormat="1" ht="105">
      <c r="A64" s="105">
        <v>57</v>
      </c>
      <c r="B64" s="106" t="s">
        <v>42</v>
      </c>
      <c r="C64" s="105" t="s">
        <v>89</v>
      </c>
      <c r="D64" s="107" t="s">
        <v>157</v>
      </c>
      <c r="E64" s="108" t="s">
        <v>238</v>
      </c>
      <c r="F64" s="105">
        <v>27000</v>
      </c>
      <c r="G64" s="108" t="s">
        <v>258</v>
      </c>
      <c r="H64" s="109">
        <v>27000</v>
      </c>
      <c r="I64" s="109" t="s">
        <v>34</v>
      </c>
      <c r="J64" s="110">
        <v>44561</v>
      </c>
      <c r="K64" s="122" t="s">
        <v>61</v>
      </c>
      <c r="L64" s="109"/>
      <c r="M64" s="109"/>
      <c r="N64" s="111"/>
      <c r="O64" s="112"/>
      <c r="P64" s="112"/>
      <c r="Q64" s="113"/>
    </row>
    <row r="65" spans="1:17" s="114" customFormat="1" ht="105">
      <c r="A65" s="105">
        <v>58</v>
      </c>
      <c r="B65" s="106" t="s">
        <v>42</v>
      </c>
      <c r="C65" s="105" t="s">
        <v>89</v>
      </c>
      <c r="D65" s="107" t="s">
        <v>158</v>
      </c>
      <c r="E65" s="108" t="s">
        <v>238</v>
      </c>
      <c r="F65" s="105">
        <v>27000</v>
      </c>
      <c r="G65" s="108" t="s">
        <v>259</v>
      </c>
      <c r="H65" s="109">
        <v>27000</v>
      </c>
      <c r="I65" s="109" t="s">
        <v>34</v>
      </c>
      <c r="J65" s="110">
        <v>44561</v>
      </c>
      <c r="K65" s="122" t="s">
        <v>61</v>
      </c>
      <c r="L65" s="109"/>
      <c r="M65" s="109"/>
      <c r="N65" s="111"/>
      <c r="O65" s="112"/>
      <c r="P65" s="112"/>
      <c r="Q65" s="113"/>
    </row>
    <row r="66" spans="1:17" s="114" customFormat="1" ht="84">
      <c r="A66" s="105">
        <v>59</v>
      </c>
      <c r="B66" s="106" t="s">
        <v>42</v>
      </c>
      <c r="C66" s="105" t="s">
        <v>89</v>
      </c>
      <c r="D66" s="107" t="s">
        <v>159</v>
      </c>
      <c r="E66" s="108" t="s">
        <v>233</v>
      </c>
      <c r="F66" s="105">
        <v>27000</v>
      </c>
      <c r="G66" s="108" t="s">
        <v>260</v>
      </c>
      <c r="H66" s="109">
        <v>27000</v>
      </c>
      <c r="I66" s="109" t="s">
        <v>34</v>
      </c>
      <c r="J66" s="110">
        <v>44561</v>
      </c>
      <c r="K66" s="122" t="s">
        <v>61</v>
      </c>
      <c r="L66" s="109"/>
      <c r="M66" s="109"/>
      <c r="N66" s="111"/>
      <c r="O66" s="112"/>
      <c r="P66" s="112"/>
      <c r="Q66" s="113"/>
    </row>
    <row r="67" spans="1:17" s="114" customFormat="1" ht="84">
      <c r="A67" s="105">
        <v>60</v>
      </c>
      <c r="B67" s="106" t="s">
        <v>42</v>
      </c>
      <c r="C67" s="105" t="s">
        <v>89</v>
      </c>
      <c r="D67" s="107" t="s">
        <v>163</v>
      </c>
      <c r="E67" s="108" t="s">
        <v>239</v>
      </c>
      <c r="F67" s="105">
        <v>27000</v>
      </c>
      <c r="G67" s="108" t="s">
        <v>261</v>
      </c>
      <c r="H67" s="109">
        <v>27000</v>
      </c>
      <c r="I67" s="109" t="s">
        <v>34</v>
      </c>
      <c r="J67" s="110">
        <v>44561</v>
      </c>
      <c r="K67" s="122" t="s">
        <v>61</v>
      </c>
      <c r="L67" s="109"/>
      <c r="M67" s="109"/>
      <c r="N67" s="111"/>
      <c r="O67" s="112"/>
      <c r="P67" s="112"/>
      <c r="Q67" s="113"/>
    </row>
    <row r="68" spans="1:17" s="114" customFormat="1" ht="84">
      <c r="A68" s="105">
        <v>61</v>
      </c>
      <c r="B68" s="106" t="s">
        <v>42</v>
      </c>
      <c r="C68" s="105" t="s">
        <v>89</v>
      </c>
      <c r="D68" s="107" t="s">
        <v>164</v>
      </c>
      <c r="E68" s="108" t="s">
        <v>416</v>
      </c>
      <c r="F68" s="105">
        <v>27000</v>
      </c>
      <c r="G68" s="108" t="s">
        <v>262</v>
      </c>
      <c r="H68" s="109">
        <v>27000</v>
      </c>
      <c r="I68" s="109" t="s">
        <v>34</v>
      </c>
      <c r="J68" s="110">
        <v>44561</v>
      </c>
      <c r="K68" s="122" t="s">
        <v>61</v>
      </c>
      <c r="L68" s="109"/>
      <c r="M68" s="109"/>
      <c r="N68" s="111"/>
      <c r="O68" s="112"/>
      <c r="P68" s="112"/>
      <c r="Q68" s="113"/>
    </row>
    <row r="69" spans="1:17" s="114" customFormat="1" ht="84">
      <c r="A69" s="105">
        <v>62</v>
      </c>
      <c r="B69" s="106" t="s">
        <v>42</v>
      </c>
      <c r="C69" s="105" t="s">
        <v>507</v>
      </c>
      <c r="D69" s="107" t="s">
        <v>186</v>
      </c>
      <c r="E69" s="108" t="s">
        <v>269</v>
      </c>
      <c r="F69" s="105">
        <f>223*7*6</f>
        <v>9366</v>
      </c>
      <c r="G69" s="108" t="s">
        <v>265</v>
      </c>
      <c r="H69" s="109">
        <f>223*6*7</f>
        <v>9366</v>
      </c>
      <c r="I69" s="109" t="s">
        <v>34</v>
      </c>
      <c r="J69" s="110">
        <v>44651</v>
      </c>
      <c r="K69" s="122" t="s">
        <v>37</v>
      </c>
      <c r="L69" s="109"/>
      <c r="M69" s="109"/>
      <c r="N69" s="111">
        <f>223*7</f>
        <v>1561</v>
      </c>
      <c r="O69" s="112"/>
      <c r="P69" s="112"/>
      <c r="Q69" s="113">
        <f>N69-O69</f>
        <v>1561</v>
      </c>
    </row>
    <row r="70" spans="1:17" s="114" customFormat="1" ht="84">
      <c r="A70" s="105">
        <v>63</v>
      </c>
      <c r="B70" s="106" t="s">
        <v>42</v>
      </c>
      <c r="C70" s="105" t="s">
        <v>89</v>
      </c>
      <c r="D70" s="107" t="s">
        <v>263</v>
      </c>
      <c r="E70" s="108" t="s">
        <v>270</v>
      </c>
      <c r="F70" s="105">
        <f>223*7*6</f>
        <v>9366</v>
      </c>
      <c r="G70" s="108" t="s">
        <v>266</v>
      </c>
      <c r="H70" s="109">
        <f>167*6*7</f>
        <v>7014</v>
      </c>
      <c r="I70" s="109" t="s">
        <v>34</v>
      </c>
      <c r="J70" s="110">
        <v>44651</v>
      </c>
      <c r="K70" s="122" t="s">
        <v>37</v>
      </c>
      <c r="L70" s="109"/>
      <c r="M70" s="109"/>
      <c r="N70" s="111">
        <f>167*7</f>
        <v>1169</v>
      </c>
      <c r="O70" s="112"/>
      <c r="P70" s="112"/>
      <c r="Q70" s="113">
        <f t="shared" ref="Q70:Q100" si="1">N70-O70</f>
        <v>1169</v>
      </c>
    </row>
    <row r="71" spans="1:17" s="114" customFormat="1" ht="147">
      <c r="A71" s="105">
        <v>64</v>
      </c>
      <c r="B71" s="106" t="s">
        <v>42</v>
      </c>
      <c r="C71" s="105" t="s">
        <v>89</v>
      </c>
      <c r="D71" s="107" t="s">
        <v>264</v>
      </c>
      <c r="E71" s="108" t="s">
        <v>271</v>
      </c>
      <c r="F71" s="105">
        <f>459*6*7</f>
        <v>19278</v>
      </c>
      <c r="G71" s="108" t="s">
        <v>268</v>
      </c>
      <c r="H71" s="109">
        <f t="shared" ref="H71:H76" si="2">F71</f>
        <v>19278</v>
      </c>
      <c r="I71" s="109" t="s">
        <v>34</v>
      </c>
      <c r="J71" s="110">
        <v>44651</v>
      </c>
      <c r="K71" s="122" t="s">
        <v>37</v>
      </c>
      <c r="L71" s="109"/>
      <c r="M71" s="109"/>
      <c r="N71" s="111">
        <f>459*7</f>
        <v>3213</v>
      </c>
      <c r="O71" s="112"/>
      <c r="P71" s="112"/>
      <c r="Q71" s="113">
        <f t="shared" si="1"/>
        <v>3213</v>
      </c>
    </row>
    <row r="72" spans="1:17" s="114" customFormat="1" ht="84">
      <c r="A72" s="105">
        <v>65</v>
      </c>
      <c r="B72" s="106" t="s">
        <v>42</v>
      </c>
      <c r="C72" s="105" t="s">
        <v>89</v>
      </c>
      <c r="D72" s="107" t="s">
        <v>267</v>
      </c>
      <c r="E72" s="108" t="s">
        <v>273</v>
      </c>
      <c r="F72" s="105">
        <f>140*6*7</f>
        <v>5880</v>
      </c>
      <c r="G72" s="108" t="s">
        <v>272</v>
      </c>
      <c r="H72" s="109">
        <f t="shared" si="2"/>
        <v>5880</v>
      </c>
      <c r="I72" s="109" t="s">
        <v>34</v>
      </c>
      <c r="J72" s="110">
        <v>44651</v>
      </c>
      <c r="K72" s="122" t="s">
        <v>37</v>
      </c>
      <c r="L72" s="109"/>
      <c r="M72" s="109"/>
      <c r="N72" s="111">
        <f>140*7</f>
        <v>980</v>
      </c>
      <c r="O72" s="112"/>
      <c r="P72" s="112"/>
      <c r="Q72" s="113">
        <f t="shared" si="1"/>
        <v>980</v>
      </c>
    </row>
    <row r="73" spans="1:17" s="114" customFormat="1" ht="189">
      <c r="A73" s="105">
        <v>66</v>
      </c>
      <c r="B73" s="106" t="s">
        <v>42</v>
      </c>
      <c r="C73" s="105" t="s">
        <v>89</v>
      </c>
      <c r="D73" s="107" t="s">
        <v>274</v>
      </c>
      <c r="E73" s="108" t="s">
        <v>275</v>
      </c>
      <c r="F73" s="105">
        <f>477*6*7</f>
        <v>20034</v>
      </c>
      <c r="G73" s="108" t="s">
        <v>276</v>
      </c>
      <c r="H73" s="109">
        <f t="shared" si="2"/>
        <v>20034</v>
      </c>
      <c r="I73" s="109" t="s">
        <v>34</v>
      </c>
      <c r="J73" s="110">
        <v>44651</v>
      </c>
      <c r="K73" s="122" t="s">
        <v>37</v>
      </c>
      <c r="L73" s="109"/>
      <c r="M73" s="109"/>
      <c r="N73" s="111">
        <f>477*7</f>
        <v>3339</v>
      </c>
      <c r="O73" s="112"/>
      <c r="P73" s="112"/>
      <c r="Q73" s="113">
        <f t="shared" si="1"/>
        <v>3339</v>
      </c>
    </row>
    <row r="74" spans="1:17" s="114" customFormat="1" ht="84">
      <c r="A74" s="105">
        <v>67</v>
      </c>
      <c r="B74" s="106" t="s">
        <v>42</v>
      </c>
      <c r="C74" s="105" t="s">
        <v>89</v>
      </c>
      <c r="D74" s="107" t="s">
        <v>277</v>
      </c>
      <c r="E74" s="108" t="s">
        <v>278</v>
      </c>
      <c r="F74" s="105">
        <f>105*7*6</f>
        <v>4410</v>
      </c>
      <c r="G74" s="108" t="s">
        <v>541</v>
      </c>
      <c r="H74" s="109">
        <f t="shared" si="2"/>
        <v>4410</v>
      </c>
      <c r="I74" s="109" t="s">
        <v>34</v>
      </c>
      <c r="J74" s="110">
        <v>44651</v>
      </c>
      <c r="K74" s="122" t="s">
        <v>37</v>
      </c>
      <c r="L74" s="109"/>
      <c r="M74" s="109"/>
      <c r="N74" s="111">
        <f>105*7</f>
        <v>735</v>
      </c>
      <c r="O74" s="112"/>
      <c r="P74" s="112"/>
      <c r="Q74" s="113">
        <f t="shared" si="1"/>
        <v>735</v>
      </c>
    </row>
    <row r="75" spans="1:17" s="114" customFormat="1" ht="150">
      <c r="A75" s="105">
        <v>68</v>
      </c>
      <c r="B75" s="106" t="s">
        <v>42</v>
      </c>
      <c r="C75" s="105" t="s">
        <v>89</v>
      </c>
      <c r="D75" s="107" t="s">
        <v>279</v>
      </c>
      <c r="E75" s="160" t="s">
        <v>805</v>
      </c>
      <c r="F75" s="105">
        <f>548*6*7</f>
        <v>23016</v>
      </c>
      <c r="G75" s="108" t="s">
        <v>523</v>
      </c>
      <c r="H75" s="109">
        <f t="shared" si="2"/>
        <v>23016</v>
      </c>
      <c r="I75" s="109" t="s">
        <v>34</v>
      </c>
      <c r="J75" s="110">
        <v>44651</v>
      </c>
      <c r="K75" s="122" t="s">
        <v>37</v>
      </c>
      <c r="L75" s="109"/>
      <c r="M75" s="109"/>
      <c r="N75" s="111">
        <f>548*7</f>
        <v>3836</v>
      </c>
      <c r="O75" s="112"/>
      <c r="P75" s="112"/>
      <c r="Q75" s="113">
        <f t="shared" si="1"/>
        <v>3836</v>
      </c>
    </row>
    <row r="76" spans="1:17" s="114" customFormat="1" ht="126">
      <c r="A76" s="105">
        <v>69</v>
      </c>
      <c r="B76" s="106" t="s">
        <v>42</v>
      </c>
      <c r="C76" s="105" t="s">
        <v>89</v>
      </c>
      <c r="D76" s="107" t="s">
        <v>280</v>
      </c>
      <c r="E76" s="108" t="s">
        <v>281</v>
      </c>
      <c r="F76" s="105">
        <f>300*6*7</f>
        <v>12600</v>
      </c>
      <c r="G76" s="108" t="s">
        <v>282</v>
      </c>
      <c r="H76" s="109">
        <f t="shared" si="2"/>
        <v>12600</v>
      </c>
      <c r="I76" s="109" t="s">
        <v>34</v>
      </c>
      <c r="J76" s="110">
        <v>44651</v>
      </c>
      <c r="K76" s="122" t="s">
        <v>37</v>
      </c>
      <c r="L76" s="109"/>
      <c r="M76" s="109"/>
      <c r="N76" s="111">
        <f>300*7</f>
        <v>2100</v>
      </c>
      <c r="O76" s="112"/>
      <c r="P76" s="112"/>
      <c r="Q76" s="113">
        <f t="shared" si="1"/>
        <v>2100</v>
      </c>
    </row>
    <row r="77" spans="1:17" s="114" customFormat="1" ht="84">
      <c r="A77" s="105">
        <v>70</v>
      </c>
      <c r="B77" s="106" t="s">
        <v>42</v>
      </c>
      <c r="C77" s="105" t="s">
        <v>89</v>
      </c>
      <c r="D77" s="107" t="s">
        <v>283</v>
      </c>
      <c r="E77" s="108" t="s">
        <v>285</v>
      </c>
      <c r="F77" s="105">
        <f>159*7*6</f>
        <v>6678</v>
      </c>
      <c r="G77" s="108" t="s">
        <v>807</v>
      </c>
      <c r="H77" s="109">
        <f t="shared" ref="H77:H94" si="3">F77</f>
        <v>6678</v>
      </c>
      <c r="I77" s="109" t="s">
        <v>34</v>
      </c>
      <c r="J77" s="110">
        <v>44651</v>
      </c>
      <c r="K77" s="122" t="s">
        <v>37</v>
      </c>
      <c r="L77" s="109"/>
      <c r="M77" s="109"/>
      <c r="N77" s="111">
        <f>159*7</f>
        <v>1113</v>
      </c>
      <c r="O77" s="112"/>
      <c r="P77" s="112"/>
      <c r="Q77" s="113">
        <f t="shared" si="1"/>
        <v>1113</v>
      </c>
    </row>
    <row r="78" spans="1:17" s="114" customFormat="1" ht="126">
      <c r="A78" s="105">
        <v>71</v>
      </c>
      <c r="B78" s="106" t="s">
        <v>42</v>
      </c>
      <c r="C78" s="105" t="s">
        <v>89</v>
      </c>
      <c r="D78" s="107" t="s">
        <v>286</v>
      </c>
      <c r="E78" s="108" t="s">
        <v>289</v>
      </c>
      <c r="F78" s="105">
        <f>238*6*7</f>
        <v>9996</v>
      </c>
      <c r="G78" s="108" t="s">
        <v>287</v>
      </c>
      <c r="H78" s="109">
        <f t="shared" si="3"/>
        <v>9996</v>
      </c>
      <c r="I78" s="109" t="s">
        <v>34</v>
      </c>
      <c r="J78" s="110">
        <v>44651</v>
      </c>
      <c r="K78" s="122" t="s">
        <v>37</v>
      </c>
      <c r="L78" s="109"/>
      <c r="M78" s="109"/>
      <c r="N78" s="111">
        <f>238*7</f>
        <v>1666</v>
      </c>
      <c r="O78" s="112"/>
      <c r="P78" s="112"/>
      <c r="Q78" s="113">
        <f t="shared" si="1"/>
        <v>1666</v>
      </c>
    </row>
    <row r="79" spans="1:17" s="114" customFormat="1" ht="126">
      <c r="A79" s="105">
        <v>72</v>
      </c>
      <c r="B79" s="106" t="s">
        <v>42</v>
      </c>
      <c r="C79" s="105" t="s">
        <v>89</v>
      </c>
      <c r="D79" s="107" t="s">
        <v>288</v>
      </c>
      <c r="E79" s="108" t="s">
        <v>290</v>
      </c>
      <c r="F79" s="105">
        <f>377*6*7</f>
        <v>15834</v>
      </c>
      <c r="G79" s="108" t="s">
        <v>291</v>
      </c>
      <c r="H79" s="109">
        <f t="shared" si="3"/>
        <v>15834</v>
      </c>
      <c r="I79" s="109" t="s">
        <v>34</v>
      </c>
      <c r="J79" s="110">
        <v>44651</v>
      </c>
      <c r="K79" s="122" t="s">
        <v>37</v>
      </c>
      <c r="L79" s="109"/>
      <c r="M79" s="109"/>
      <c r="N79" s="111">
        <f>377*7</f>
        <v>2639</v>
      </c>
      <c r="O79" s="112"/>
      <c r="P79" s="112"/>
      <c r="Q79" s="113">
        <f t="shared" si="1"/>
        <v>2639</v>
      </c>
    </row>
    <row r="80" spans="1:17" s="114" customFormat="1" ht="84">
      <c r="A80" s="105">
        <v>73</v>
      </c>
      <c r="B80" s="106" t="s">
        <v>42</v>
      </c>
      <c r="C80" s="105" t="s">
        <v>89</v>
      </c>
      <c r="D80" s="107" t="s">
        <v>292</v>
      </c>
      <c r="E80" s="108" t="s">
        <v>294</v>
      </c>
      <c r="F80" s="105">
        <f>118*6*7</f>
        <v>4956</v>
      </c>
      <c r="G80" s="108" t="s">
        <v>293</v>
      </c>
      <c r="H80" s="109">
        <f t="shared" si="3"/>
        <v>4956</v>
      </c>
      <c r="I80" s="109" t="s">
        <v>34</v>
      </c>
      <c r="J80" s="110">
        <v>44651</v>
      </c>
      <c r="K80" s="122" t="s">
        <v>37</v>
      </c>
      <c r="L80" s="109"/>
      <c r="M80" s="109"/>
      <c r="N80" s="111">
        <f>118*7</f>
        <v>826</v>
      </c>
      <c r="O80" s="112"/>
      <c r="P80" s="112"/>
      <c r="Q80" s="113">
        <f t="shared" si="1"/>
        <v>826</v>
      </c>
    </row>
    <row r="81" spans="1:17" s="114" customFormat="1" ht="84">
      <c r="A81" s="105">
        <v>74</v>
      </c>
      <c r="B81" s="106" t="s">
        <v>42</v>
      </c>
      <c r="C81" s="105" t="s">
        <v>89</v>
      </c>
      <c r="D81" s="107" t="s">
        <v>295</v>
      </c>
      <c r="E81" s="108" t="s">
        <v>297</v>
      </c>
      <c r="F81" s="105">
        <f>118*6*7</f>
        <v>4956</v>
      </c>
      <c r="G81" s="108" t="s">
        <v>296</v>
      </c>
      <c r="H81" s="109">
        <f t="shared" si="3"/>
        <v>4956</v>
      </c>
      <c r="I81" s="109" t="s">
        <v>34</v>
      </c>
      <c r="J81" s="110">
        <v>44651</v>
      </c>
      <c r="K81" s="122" t="s">
        <v>37</v>
      </c>
      <c r="L81" s="109"/>
      <c r="M81" s="109"/>
      <c r="N81" s="111">
        <f>118*7</f>
        <v>826</v>
      </c>
      <c r="O81" s="112"/>
      <c r="P81" s="112"/>
      <c r="Q81" s="113">
        <f t="shared" si="1"/>
        <v>826</v>
      </c>
    </row>
    <row r="82" spans="1:17" s="114" customFormat="1" ht="84">
      <c r="A82" s="105">
        <v>75</v>
      </c>
      <c r="B82" s="106" t="s">
        <v>42</v>
      </c>
      <c r="C82" s="105" t="s">
        <v>89</v>
      </c>
      <c r="D82" s="107" t="s">
        <v>298</v>
      </c>
      <c r="E82" s="108" t="s">
        <v>300</v>
      </c>
      <c r="F82" s="105">
        <f>113*6*7</f>
        <v>4746</v>
      </c>
      <c r="G82" s="108" t="s">
        <v>299</v>
      </c>
      <c r="H82" s="109">
        <f t="shared" si="3"/>
        <v>4746</v>
      </c>
      <c r="I82" s="109" t="s">
        <v>34</v>
      </c>
      <c r="J82" s="110">
        <v>44651</v>
      </c>
      <c r="K82" s="122" t="s">
        <v>37</v>
      </c>
      <c r="L82" s="109"/>
      <c r="M82" s="109"/>
      <c r="N82" s="111">
        <f>113*7</f>
        <v>791</v>
      </c>
      <c r="O82" s="112"/>
      <c r="P82" s="112"/>
      <c r="Q82" s="113">
        <f t="shared" si="1"/>
        <v>791</v>
      </c>
    </row>
    <row r="83" spans="1:17" s="114" customFormat="1" ht="84">
      <c r="A83" s="105">
        <v>76</v>
      </c>
      <c r="B83" s="106" t="s">
        <v>42</v>
      </c>
      <c r="C83" s="105" t="s">
        <v>89</v>
      </c>
      <c r="D83" s="107" t="s">
        <v>301</v>
      </c>
      <c r="E83" s="108" t="s">
        <v>303</v>
      </c>
      <c r="F83" s="105">
        <f>62*6*7</f>
        <v>2604</v>
      </c>
      <c r="G83" s="108" t="s">
        <v>302</v>
      </c>
      <c r="H83" s="109">
        <f t="shared" si="3"/>
        <v>2604</v>
      </c>
      <c r="I83" s="109" t="s">
        <v>34</v>
      </c>
      <c r="J83" s="110">
        <v>44651</v>
      </c>
      <c r="K83" s="122" t="s">
        <v>37</v>
      </c>
      <c r="L83" s="109"/>
      <c r="M83" s="109"/>
      <c r="N83" s="111">
        <f>62*7</f>
        <v>434</v>
      </c>
      <c r="O83" s="112"/>
      <c r="P83" s="112"/>
      <c r="Q83" s="113">
        <f t="shared" si="1"/>
        <v>434</v>
      </c>
    </row>
    <row r="84" spans="1:17" s="114" customFormat="1" ht="84">
      <c r="A84" s="105">
        <v>77</v>
      </c>
      <c r="B84" s="106" t="s">
        <v>42</v>
      </c>
      <c r="C84" s="105" t="s">
        <v>89</v>
      </c>
      <c r="D84" s="107" t="s">
        <v>304</v>
      </c>
      <c r="E84" s="108" t="s">
        <v>306</v>
      </c>
      <c r="F84" s="105">
        <f>143*6*7</f>
        <v>6006</v>
      </c>
      <c r="G84" s="108" t="s">
        <v>305</v>
      </c>
      <c r="H84" s="109">
        <f t="shared" si="3"/>
        <v>6006</v>
      </c>
      <c r="I84" s="109" t="s">
        <v>34</v>
      </c>
      <c r="J84" s="110">
        <v>44651</v>
      </c>
      <c r="K84" s="122" t="s">
        <v>37</v>
      </c>
      <c r="L84" s="109"/>
      <c r="M84" s="109"/>
      <c r="N84" s="111">
        <f>143*7</f>
        <v>1001</v>
      </c>
      <c r="O84" s="112"/>
      <c r="P84" s="112"/>
      <c r="Q84" s="113">
        <f t="shared" si="1"/>
        <v>1001</v>
      </c>
    </row>
    <row r="85" spans="1:17" s="114" customFormat="1" ht="84">
      <c r="A85" s="105" t="s">
        <v>542</v>
      </c>
      <c r="B85" s="106" t="s">
        <v>42</v>
      </c>
      <c r="C85" s="105" t="s">
        <v>89</v>
      </c>
      <c r="D85" s="107" t="s">
        <v>307</v>
      </c>
      <c r="E85" s="108" t="s">
        <v>309</v>
      </c>
      <c r="F85" s="105">
        <f>159*6*7</f>
        <v>6678</v>
      </c>
      <c r="G85" s="108" t="s">
        <v>308</v>
      </c>
      <c r="H85" s="109">
        <f t="shared" si="3"/>
        <v>6678</v>
      </c>
      <c r="I85" s="109" t="s">
        <v>34</v>
      </c>
      <c r="J85" s="110">
        <v>44651</v>
      </c>
      <c r="K85" s="122" t="s">
        <v>37</v>
      </c>
      <c r="L85" s="109"/>
      <c r="M85" s="109"/>
      <c r="N85" s="111">
        <f>159*7</f>
        <v>1113</v>
      </c>
      <c r="O85" s="112"/>
      <c r="P85" s="112"/>
      <c r="Q85" s="113">
        <f t="shared" si="1"/>
        <v>1113</v>
      </c>
    </row>
    <row r="86" spans="1:17" s="114" customFormat="1" ht="84">
      <c r="A86" s="105">
        <v>79</v>
      </c>
      <c r="B86" s="106" t="s">
        <v>42</v>
      </c>
      <c r="C86" s="105" t="s">
        <v>89</v>
      </c>
      <c r="D86" s="107" t="s">
        <v>310</v>
      </c>
      <c r="E86" s="108" t="s">
        <v>312</v>
      </c>
      <c r="F86" s="105">
        <f>102*6*7</f>
        <v>4284</v>
      </c>
      <c r="G86" s="108" t="s">
        <v>311</v>
      </c>
      <c r="H86" s="109">
        <f t="shared" si="3"/>
        <v>4284</v>
      </c>
      <c r="I86" s="109" t="s">
        <v>34</v>
      </c>
      <c r="J86" s="110">
        <v>44651</v>
      </c>
      <c r="K86" s="122" t="s">
        <v>37</v>
      </c>
      <c r="L86" s="109"/>
      <c r="M86" s="109"/>
      <c r="N86" s="111">
        <f>102*7</f>
        <v>714</v>
      </c>
      <c r="O86" s="112"/>
      <c r="P86" s="112"/>
      <c r="Q86" s="113">
        <f t="shared" si="1"/>
        <v>714</v>
      </c>
    </row>
    <row r="87" spans="1:17" s="114" customFormat="1" ht="84">
      <c r="A87" s="105">
        <v>80</v>
      </c>
      <c r="B87" s="106" t="s">
        <v>42</v>
      </c>
      <c r="C87" s="105" t="s">
        <v>89</v>
      </c>
      <c r="D87" s="107" t="s">
        <v>313</v>
      </c>
      <c r="E87" s="108" t="s">
        <v>315</v>
      </c>
      <c r="F87" s="105">
        <f>229*6*7</f>
        <v>9618</v>
      </c>
      <c r="G87" s="108" t="s">
        <v>314</v>
      </c>
      <c r="H87" s="109">
        <f t="shared" si="3"/>
        <v>9618</v>
      </c>
      <c r="I87" s="109" t="s">
        <v>34</v>
      </c>
      <c r="J87" s="110">
        <v>44651</v>
      </c>
      <c r="K87" s="122" t="s">
        <v>37</v>
      </c>
      <c r="L87" s="109"/>
      <c r="M87" s="109"/>
      <c r="N87" s="111">
        <f>229*7</f>
        <v>1603</v>
      </c>
      <c r="O87" s="112"/>
      <c r="P87" s="112"/>
      <c r="Q87" s="113">
        <f t="shared" si="1"/>
        <v>1603</v>
      </c>
    </row>
    <row r="88" spans="1:17" s="114" customFormat="1" ht="126">
      <c r="A88" s="105">
        <v>81</v>
      </c>
      <c r="B88" s="106" t="s">
        <v>42</v>
      </c>
      <c r="C88" s="105" t="s">
        <v>89</v>
      </c>
      <c r="D88" s="107" t="s">
        <v>316</v>
      </c>
      <c r="E88" s="108" t="s">
        <v>317</v>
      </c>
      <c r="F88" s="105">
        <f>242*6*7</f>
        <v>10164</v>
      </c>
      <c r="G88" s="108" t="s">
        <v>318</v>
      </c>
      <c r="H88" s="109">
        <f t="shared" si="3"/>
        <v>10164</v>
      </c>
      <c r="I88" s="109" t="s">
        <v>34</v>
      </c>
      <c r="J88" s="110">
        <v>44651</v>
      </c>
      <c r="K88" s="122" t="s">
        <v>37</v>
      </c>
      <c r="L88" s="109"/>
      <c r="M88" s="109"/>
      <c r="N88" s="111">
        <f>242*7</f>
        <v>1694</v>
      </c>
      <c r="O88" s="112"/>
      <c r="P88" s="112"/>
      <c r="Q88" s="113">
        <f t="shared" si="1"/>
        <v>1694</v>
      </c>
    </row>
    <row r="89" spans="1:17" s="114" customFormat="1" ht="105">
      <c r="A89" s="105">
        <v>82</v>
      </c>
      <c r="B89" s="106" t="s">
        <v>42</v>
      </c>
      <c r="C89" s="105" t="s">
        <v>89</v>
      </c>
      <c r="D89" s="107" t="s">
        <v>319</v>
      </c>
      <c r="E89" s="108" t="s">
        <v>321</v>
      </c>
      <c r="F89" s="105">
        <f>254*6*7</f>
        <v>10668</v>
      </c>
      <c r="G89" s="108" t="s">
        <v>320</v>
      </c>
      <c r="H89" s="109">
        <f t="shared" si="3"/>
        <v>10668</v>
      </c>
      <c r="I89" s="109" t="s">
        <v>34</v>
      </c>
      <c r="J89" s="110">
        <v>44651</v>
      </c>
      <c r="K89" s="122" t="s">
        <v>37</v>
      </c>
      <c r="L89" s="109"/>
      <c r="M89" s="109"/>
      <c r="N89" s="111">
        <f>254*7</f>
        <v>1778</v>
      </c>
      <c r="O89" s="112"/>
      <c r="P89" s="112"/>
      <c r="Q89" s="113">
        <f t="shared" si="1"/>
        <v>1778</v>
      </c>
    </row>
    <row r="90" spans="1:17" s="114" customFormat="1" ht="105">
      <c r="A90" s="105">
        <v>83</v>
      </c>
      <c r="B90" s="106" t="s">
        <v>42</v>
      </c>
      <c r="C90" s="105" t="s">
        <v>89</v>
      </c>
      <c r="D90" s="107" t="s">
        <v>322</v>
      </c>
      <c r="E90" s="108" t="s">
        <v>323</v>
      </c>
      <c r="F90" s="105">
        <f>202*6*7</f>
        <v>8484</v>
      </c>
      <c r="G90" s="108" t="s">
        <v>324</v>
      </c>
      <c r="H90" s="109">
        <f t="shared" si="3"/>
        <v>8484</v>
      </c>
      <c r="I90" s="109" t="s">
        <v>34</v>
      </c>
      <c r="J90" s="110">
        <v>44651</v>
      </c>
      <c r="K90" s="122" t="s">
        <v>37</v>
      </c>
      <c r="L90" s="109"/>
      <c r="M90" s="109"/>
      <c r="N90" s="111">
        <f>202*7</f>
        <v>1414</v>
      </c>
      <c r="O90" s="112"/>
      <c r="P90" s="112"/>
      <c r="Q90" s="113">
        <f t="shared" si="1"/>
        <v>1414</v>
      </c>
    </row>
    <row r="91" spans="1:17" s="190" customFormat="1" ht="105">
      <c r="A91" s="182">
        <v>84</v>
      </c>
      <c r="B91" s="183" t="s">
        <v>42</v>
      </c>
      <c r="C91" s="182" t="s">
        <v>89</v>
      </c>
      <c r="D91" s="184" t="s">
        <v>325</v>
      </c>
      <c r="E91" s="185" t="s">
        <v>335</v>
      </c>
      <c r="F91" s="182">
        <f>79*6*7</f>
        <v>3318</v>
      </c>
      <c r="G91" s="185" t="s">
        <v>608</v>
      </c>
      <c r="H91" s="186">
        <f t="shared" si="3"/>
        <v>3318</v>
      </c>
      <c r="I91" s="186" t="s">
        <v>34</v>
      </c>
      <c r="J91" s="187">
        <v>44651</v>
      </c>
      <c r="K91" s="181" t="s">
        <v>37</v>
      </c>
      <c r="L91" s="186"/>
      <c r="M91" s="186"/>
      <c r="N91" s="325" t="s">
        <v>609</v>
      </c>
      <c r="O91" s="188"/>
      <c r="P91" s="188"/>
      <c r="Q91" s="113" t="e">
        <f t="shared" si="1"/>
        <v>#VALUE!</v>
      </c>
    </row>
    <row r="92" spans="1:17" s="114" customFormat="1" ht="105">
      <c r="A92" s="105">
        <v>85</v>
      </c>
      <c r="B92" s="106" t="s">
        <v>42</v>
      </c>
      <c r="C92" s="105" t="s">
        <v>89</v>
      </c>
      <c r="D92" s="107" t="s">
        <v>326</v>
      </c>
      <c r="E92" s="108" t="s">
        <v>333</v>
      </c>
      <c r="F92" s="105">
        <f>163*6*7</f>
        <v>6846</v>
      </c>
      <c r="G92" s="108" t="s">
        <v>327</v>
      </c>
      <c r="H92" s="109">
        <f t="shared" si="3"/>
        <v>6846</v>
      </c>
      <c r="I92" s="109" t="s">
        <v>34</v>
      </c>
      <c r="J92" s="110">
        <v>44651</v>
      </c>
      <c r="K92" s="122" t="s">
        <v>37</v>
      </c>
      <c r="L92" s="109"/>
      <c r="M92" s="109"/>
      <c r="N92" s="111">
        <f>163*7</f>
        <v>1141</v>
      </c>
      <c r="O92" s="112"/>
      <c r="P92" s="112"/>
      <c r="Q92" s="113">
        <f t="shared" si="1"/>
        <v>1141</v>
      </c>
    </row>
    <row r="93" spans="1:17" s="114" customFormat="1" ht="105">
      <c r="A93" s="105">
        <v>86</v>
      </c>
      <c r="B93" s="106" t="s">
        <v>42</v>
      </c>
      <c r="C93" s="105" t="s">
        <v>89</v>
      </c>
      <c r="D93" s="107" t="s">
        <v>329</v>
      </c>
      <c r="E93" s="108" t="s">
        <v>332</v>
      </c>
      <c r="F93" s="105">
        <f>170*6*7</f>
        <v>7140</v>
      </c>
      <c r="G93" s="108" t="s">
        <v>328</v>
      </c>
      <c r="H93" s="109">
        <f t="shared" si="3"/>
        <v>7140</v>
      </c>
      <c r="I93" s="109" t="s">
        <v>34</v>
      </c>
      <c r="J93" s="110">
        <v>44651</v>
      </c>
      <c r="K93" s="122" t="s">
        <v>37</v>
      </c>
      <c r="L93" s="109"/>
      <c r="M93" s="109"/>
      <c r="N93" s="111">
        <f>170*7</f>
        <v>1190</v>
      </c>
      <c r="O93" s="112"/>
      <c r="P93" s="112"/>
      <c r="Q93" s="113">
        <f t="shared" si="1"/>
        <v>1190</v>
      </c>
    </row>
    <row r="94" spans="1:17" s="114" customFormat="1" ht="105">
      <c r="A94" s="105">
        <v>87</v>
      </c>
      <c r="B94" s="106" t="s">
        <v>42</v>
      </c>
      <c r="C94" s="105" t="s">
        <v>89</v>
      </c>
      <c r="D94" s="107" t="s">
        <v>330</v>
      </c>
      <c r="E94" s="108" t="s">
        <v>334</v>
      </c>
      <c r="F94" s="105">
        <f>200*6*7</f>
        <v>8400</v>
      </c>
      <c r="G94" s="108" t="s">
        <v>331</v>
      </c>
      <c r="H94" s="109">
        <f t="shared" si="3"/>
        <v>8400</v>
      </c>
      <c r="I94" s="109" t="s">
        <v>34</v>
      </c>
      <c r="J94" s="110">
        <v>44651</v>
      </c>
      <c r="K94" s="122" t="s">
        <v>37</v>
      </c>
      <c r="L94" s="109"/>
      <c r="M94" s="109"/>
      <c r="N94" s="111">
        <f>200*7</f>
        <v>1400</v>
      </c>
      <c r="O94" s="112"/>
      <c r="P94" s="112"/>
      <c r="Q94" s="113">
        <f t="shared" si="1"/>
        <v>1400</v>
      </c>
    </row>
    <row r="95" spans="1:17" s="114" customFormat="1" ht="168">
      <c r="A95" s="105">
        <v>88</v>
      </c>
      <c r="B95" s="314" t="s">
        <v>42</v>
      </c>
      <c r="C95" s="265" t="s">
        <v>89</v>
      </c>
      <c r="D95" s="210" t="s">
        <v>346</v>
      </c>
      <c r="E95" s="212" t="s">
        <v>359</v>
      </c>
      <c r="F95" s="265">
        <v>18000</v>
      </c>
      <c r="G95" s="212" t="s">
        <v>358</v>
      </c>
      <c r="H95" s="208">
        <f t="shared" ref="H95" si="4">F95</f>
        <v>18000</v>
      </c>
      <c r="I95" s="208" t="s">
        <v>34</v>
      </c>
      <c r="J95" s="211">
        <v>44651</v>
      </c>
      <c r="K95" s="315" t="s">
        <v>37</v>
      </c>
      <c r="L95" s="208"/>
      <c r="M95" s="208"/>
      <c r="N95" s="316"/>
      <c r="O95" s="112"/>
      <c r="P95" s="112"/>
      <c r="Q95" s="113">
        <f t="shared" si="1"/>
        <v>0</v>
      </c>
    </row>
    <row r="96" spans="1:17" s="114" customFormat="1" ht="168">
      <c r="A96" s="105">
        <v>89</v>
      </c>
      <c r="B96" s="364" t="s">
        <v>42</v>
      </c>
      <c r="C96" s="232">
        <v>44560</v>
      </c>
      <c r="D96" s="231" t="s">
        <v>347</v>
      </c>
      <c r="E96" s="233" t="s">
        <v>348</v>
      </c>
      <c r="F96" s="335">
        <f>3000*6</f>
        <v>18000</v>
      </c>
      <c r="G96" s="233" t="s">
        <v>699</v>
      </c>
      <c r="H96" s="229">
        <f t="shared" ref="H96:H108" si="5">F96</f>
        <v>18000</v>
      </c>
      <c r="I96" s="229" t="s">
        <v>34</v>
      </c>
      <c r="J96" s="232">
        <v>44651</v>
      </c>
      <c r="K96" s="256" t="s">
        <v>38</v>
      </c>
      <c r="L96" s="229"/>
      <c r="M96" s="229"/>
      <c r="N96" s="365"/>
      <c r="O96" s="112"/>
      <c r="P96" s="112"/>
      <c r="Q96" s="113">
        <f t="shared" si="1"/>
        <v>0</v>
      </c>
    </row>
    <row r="97" spans="1:17" s="114" customFormat="1">
      <c r="A97" s="118"/>
      <c r="B97" s="263"/>
      <c r="C97" s="118"/>
      <c r="D97" s="151"/>
      <c r="E97" s="120"/>
      <c r="F97" s="118"/>
      <c r="G97" s="120"/>
      <c r="H97" s="126"/>
      <c r="I97" s="126"/>
      <c r="J97" s="174"/>
      <c r="K97" s="177"/>
      <c r="L97" s="126"/>
      <c r="M97" s="126"/>
      <c r="N97" s="264"/>
      <c r="O97" s="112"/>
      <c r="P97" s="112"/>
      <c r="Q97" s="113">
        <f t="shared" si="1"/>
        <v>0</v>
      </c>
    </row>
    <row r="98" spans="1:17" s="114" customFormat="1">
      <c r="A98" s="118"/>
      <c r="B98" s="263"/>
      <c r="C98" s="118"/>
      <c r="D98" s="151"/>
      <c r="E98" s="120"/>
      <c r="F98" s="118"/>
      <c r="G98" s="120"/>
      <c r="H98" s="126"/>
      <c r="I98" s="126"/>
      <c r="J98" s="174"/>
      <c r="K98" s="177"/>
      <c r="L98" s="126"/>
      <c r="M98" s="126"/>
      <c r="N98" s="264"/>
      <c r="O98" s="112"/>
      <c r="P98" s="112"/>
      <c r="Q98" s="113">
        <f t="shared" si="1"/>
        <v>0</v>
      </c>
    </row>
    <row r="99" spans="1:17" s="114" customFormat="1">
      <c r="A99" s="118"/>
      <c r="B99" s="263"/>
      <c r="C99" s="118"/>
      <c r="D99" s="151"/>
      <c r="E99" s="120"/>
      <c r="F99" s="118"/>
      <c r="G99" s="120"/>
      <c r="H99" s="126"/>
      <c r="I99" s="126"/>
      <c r="J99" s="174"/>
      <c r="K99" s="177"/>
      <c r="L99" s="126"/>
      <c r="M99" s="126"/>
      <c r="N99" s="264"/>
      <c r="O99" s="112"/>
      <c r="P99" s="112"/>
      <c r="Q99" s="113">
        <f t="shared" si="1"/>
        <v>0</v>
      </c>
    </row>
    <row r="100" spans="1:17" s="114" customFormat="1">
      <c r="A100" s="118"/>
      <c r="B100" s="263"/>
      <c r="C100" s="118"/>
      <c r="D100" s="151"/>
      <c r="E100" s="120"/>
      <c r="F100" s="118"/>
      <c r="G100" s="120"/>
      <c r="H100" s="126"/>
      <c r="I100" s="126"/>
      <c r="J100" s="174"/>
      <c r="K100" s="177"/>
      <c r="L100" s="126"/>
      <c r="M100" s="126"/>
      <c r="N100" s="264"/>
      <c r="O100" s="112"/>
      <c r="P100" s="112"/>
      <c r="Q100" s="113">
        <f t="shared" si="1"/>
        <v>0</v>
      </c>
    </row>
    <row r="101" spans="1:17" s="114" customFormat="1">
      <c r="A101" s="118"/>
      <c r="B101" s="263"/>
      <c r="C101" s="118"/>
      <c r="D101" s="151"/>
      <c r="E101" s="120"/>
      <c r="F101" s="118"/>
      <c r="G101" s="120"/>
      <c r="H101" s="126"/>
      <c r="I101" s="126"/>
      <c r="J101" s="174"/>
      <c r="K101" s="177"/>
      <c r="L101" s="126"/>
      <c r="M101" s="126"/>
      <c r="N101" s="264"/>
      <c r="O101" s="112"/>
      <c r="P101" s="112"/>
      <c r="Q101" s="113"/>
    </row>
    <row r="102" spans="1:17" s="114" customFormat="1">
      <c r="A102" s="118"/>
      <c r="B102" s="263"/>
      <c r="C102" s="118"/>
      <c r="D102" s="151"/>
      <c r="E102" s="120"/>
      <c r="F102" s="118"/>
      <c r="G102" s="120"/>
      <c r="H102" s="126"/>
      <c r="I102" s="126"/>
      <c r="J102" s="174"/>
      <c r="K102" s="177"/>
      <c r="L102" s="126"/>
      <c r="M102" s="126"/>
      <c r="N102" s="264"/>
      <c r="O102" s="112"/>
      <c r="P102" s="112"/>
      <c r="Q102" s="113"/>
    </row>
    <row r="103" spans="1:17" s="114" customFormat="1">
      <c r="A103" s="118"/>
      <c r="B103" s="263"/>
      <c r="C103" s="118"/>
      <c r="D103" s="151"/>
      <c r="E103" s="120"/>
      <c r="F103" s="118"/>
      <c r="G103" s="120"/>
      <c r="H103" s="126"/>
      <c r="I103" s="126"/>
      <c r="J103" s="174"/>
      <c r="K103" s="177"/>
      <c r="L103" s="126"/>
      <c r="M103" s="126"/>
      <c r="N103" s="264"/>
      <c r="O103" s="112"/>
      <c r="P103" s="112"/>
      <c r="Q103" s="113"/>
    </row>
    <row r="104" spans="1:17" s="114" customFormat="1">
      <c r="A104" s="118"/>
      <c r="B104" s="263"/>
      <c r="C104" s="118"/>
      <c r="D104" s="151"/>
      <c r="E104" s="120"/>
      <c r="F104" s="118"/>
      <c r="G104" s="120"/>
      <c r="H104" s="126"/>
      <c r="I104" s="126"/>
      <c r="J104" s="174"/>
      <c r="K104" s="177"/>
      <c r="L104" s="126"/>
      <c r="M104" s="126"/>
      <c r="N104" s="264"/>
      <c r="O104" s="112"/>
      <c r="P104" s="112"/>
      <c r="Q104" s="113"/>
    </row>
    <row r="105" spans="1:17" s="114" customFormat="1">
      <c r="A105" s="118"/>
      <c r="B105" s="263"/>
      <c r="C105" s="118"/>
      <c r="D105" s="151"/>
      <c r="E105" s="120"/>
      <c r="F105" s="118"/>
      <c r="G105" s="120"/>
      <c r="H105" s="126"/>
      <c r="I105" s="126"/>
      <c r="J105" s="174"/>
      <c r="K105" s="177"/>
      <c r="L105" s="126"/>
      <c r="M105" s="126"/>
      <c r="N105" s="264"/>
      <c r="O105" s="112"/>
      <c r="P105" s="112"/>
      <c r="Q105" s="113"/>
    </row>
    <row r="106" spans="1:17" s="114" customFormat="1">
      <c r="A106" s="118"/>
      <c r="B106" s="263"/>
      <c r="C106" s="118"/>
      <c r="D106" s="151"/>
      <c r="E106" s="120"/>
      <c r="F106" s="118"/>
      <c r="G106" s="120"/>
      <c r="H106" s="126"/>
      <c r="I106" s="126"/>
      <c r="J106" s="174"/>
      <c r="K106" s="177"/>
      <c r="L106" s="126"/>
      <c r="M106" s="126"/>
      <c r="N106" s="264"/>
      <c r="O106" s="112"/>
      <c r="P106" s="112"/>
      <c r="Q106" s="113"/>
    </row>
    <row r="107" spans="1:17" s="67" customFormat="1" ht="25.5" customHeight="1">
      <c r="A107" s="544" t="s">
        <v>522</v>
      </c>
      <c r="B107" s="545"/>
      <c r="C107" s="545"/>
      <c r="D107" s="545"/>
      <c r="E107" s="546"/>
      <c r="F107" s="64"/>
      <c r="G107" s="65"/>
      <c r="H107" s="64"/>
      <c r="I107" s="64"/>
      <c r="J107" s="64"/>
      <c r="K107" s="64"/>
      <c r="L107" s="65"/>
      <c r="M107" s="65"/>
      <c r="N107" s="66"/>
      <c r="O107" s="116"/>
      <c r="P107" s="116"/>
    </row>
    <row r="108" spans="1:17" s="114" customFormat="1" ht="105">
      <c r="A108" s="105">
        <v>1</v>
      </c>
      <c r="B108" s="106" t="s">
        <v>42</v>
      </c>
      <c r="C108" s="105" t="s">
        <v>384</v>
      </c>
      <c r="D108" s="107" t="s">
        <v>383</v>
      </c>
      <c r="E108" s="108" t="s">
        <v>455</v>
      </c>
      <c r="F108" s="105">
        <f>79*7*3</f>
        <v>1659</v>
      </c>
      <c r="G108" s="108" t="s">
        <v>284</v>
      </c>
      <c r="H108" s="109">
        <f t="shared" si="5"/>
        <v>1659</v>
      </c>
      <c r="I108" s="109" t="s">
        <v>34</v>
      </c>
      <c r="J108" s="110">
        <v>44651</v>
      </c>
      <c r="K108" s="122" t="s">
        <v>37</v>
      </c>
      <c r="L108" s="109"/>
      <c r="M108" s="109"/>
      <c r="N108" s="111">
        <v>553</v>
      </c>
      <c r="O108" s="112"/>
      <c r="P108" s="112"/>
      <c r="Q108" s="113">
        <f>N108-O108</f>
        <v>553</v>
      </c>
    </row>
    <row r="109" spans="1:17" s="114" customFormat="1" ht="84">
      <c r="A109" s="105">
        <v>2</v>
      </c>
      <c r="B109" s="106" t="s">
        <v>42</v>
      </c>
      <c r="C109" s="105" t="s">
        <v>384</v>
      </c>
      <c r="D109" s="107" t="s">
        <v>385</v>
      </c>
      <c r="E109" s="108" t="s">
        <v>391</v>
      </c>
      <c r="F109" s="105">
        <f>315*90</f>
        <v>28350</v>
      </c>
      <c r="G109" s="108" t="s">
        <v>388</v>
      </c>
      <c r="H109" s="109">
        <f>F109</f>
        <v>28350</v>
      </c>
      <c r="I109" s="109" t="s">
        <v>34</v>
      </c>
      <c r="J109" s="110">
        <v>44592</v>
      </c>
      <c r="K109" s="122" t="s">
        <v>61</v>
      </c>
      <c r="L109" s="110">
        <v>44651</v>
      </c>
      <c r="M109" s="110">
        <v>44651</v>
      </c>
      <c r="N109" s="317">
        <f>6300</f>
        <v>6300</v>
      </c>
      <c r="O109" s="112"/>
      <c r="P109" s="112"/>
      <c r="Q109" s="113"/>
    </row>
    <row r="110" spans="1:17" s="114" customFormat="1" ht="84">
      <c r="A110" s="105">
        <v>3</v>
      </c>
      <c r="B110" s="106" t="s">
        <v>42</v>
      </c>
      <c r="C110" s="105" t="s">
        <v>384</v>
      </c>
      <c r="D110" s="107" t="s">
        <v>387</v>
      </c>
      <c r="E110" s="108" t="s">
        <v>386</v>
      </c>
      <c r="F110" s="105">
        <f>315*90</f>
        <v>28350</v>
      </c>
      <c r="G110" s="108" t="s">
        <v>261</v>
      </c>
      <c r="H110" s="109">
        <f>F110</f>
        <v>28350</v>
      </c>
      <c r="I110" s="109" t="s">
        <v>34</v>
      </c>
      <c r="J110" s="110">
        <v>44651</v>
      </c>
      <c r="K110" s="122" t="s">
        <v>61</v>
      </c>
      <c r="L110" s="110">
        <v>44651</v>
      </c>
      <c r="M110" s="110">
        <v>44651</v>
      </c>
      <c r="N110" s="317">
        <f>6300</f>
        <v>6300</v>
      </c>
      <c r="O110" s="112"/>
      <c r="P110" s="112"/>
      <c r="Q110" s="113"/>
    </row>
    <row r="111" spans="1:17" s="114" customFormat="1" ht="105">
      <c r="A111" s="105">
        <v>4</v>
      </c>
      <c r="B111" s="106" t="s">
        <v>42</v>
      </c>
      <c r="C111" s="105" t="s">
        <v>89</v>
      </c>
      <c r="D111" s="107" t="s">
        <v>457</v>
      </c>
      <c r="E111" s="108" t="s">
        <v>736</v>
      </c>
      <c r="F111" s="105">
        <f>315*90</f>
        <v>28350</v>
      </c>
      <c r="G111" s="108" t="s">
        <v>256</v>
      </c>
      <c r="H111" s="109">
        <f>F111</f>
        <v>28350</v>
      </c>
      <c r="I111" s="109" t="s">
        <v>34</v>
      </c>
      <c r="J111" s="110">
        <v>44561</v>
      </c>
      <c r="K111" s="122" t="s">
        <v>61</v>
      </c>
      <c r="L111" s="110">
        <v>44651</v>
      </c>
      <c r="M111" s="110">
        <v>44651</v>
      </c>
      <c r="N111" s="111">
        <f>6300</f>
        <v>6300</v>
      </c>
      <c r="O111" s="112"/>
      <c r="P111" s="112"/>
      <c r="Q111" s="113"/>
    </row>
    <row r="112" spans="1:17" s="114" customFormat="1" ht="105">
      <c r="A112" s="105">
        <v>5</v>
      </c>
      <c r="B112" s="106" t="s">
        <v>42</v>
      </c>
      <c r="C112" s="105" t="s">
        <v>384</v>
      </c>
      <c r="D112" s="107" t="s">
        <v>393</v>
      </c>
      <c r="E112" s="108" t="s">
        <v>509</v>
      </c>
      <c r="F112" s="105">
        <v>27000</v>
      </c>
      <c r="G112" s="108" t="s">
        <v>394</v>
      </c>
      <c r="H112" s="109">
        <v>27000</v>
      </c>
      <c r="I112" s="109" t="s">
        <v>34</v>
      </c>
      <c r="J112" s="110">
        <v>44651</v>
      </c>
      <c r="K112" s="122" t="s">
        <v>61</v>
      </c>
      <c r="L112" s="109"/>
      <c r="M112" s="109"/>
      <c r="N112" s="317"/>
      <c r="O112" s="112"/>
      <c r="P112" s="112"/>
      <c r="Q112" s="113"/>
    </row>
    <row r="113" spans="1:17" s="114" customFormat="1" ht="105">
      <c r="A113" s="105">
        <v>6</v>
      </c>
      <c r="B113" s="106" t="s">
        <v>42</v>
      </c>
      <c r="C113" s="105" t="s">
        <v>384</v>
      </c>
      <c r="D113" s="107" t="s">
        <v>395</v>
      </c>
      <c r="E113" s="108" t="s">
        <v>508</v>
      </c>
      <c r="F113" s="105">
        <v>27000</v>
      </c>
      <c r="G113" s="108" t="s">
        <v>396</v>
      </c>
      <c r="H113" s="109">
        <v>27000</v>
      </c>
      <c r="I113" s="109" t="s">
        <v>34</v>
      </c>
      <c r="J113" s="110">
        <v>44651</v>
      </c>
      <c r="K113" s="122" t="s">
        <v>61</v>
      </c>
      <c r="L113" s="109"/>
      <c r="M113" s="109"/>
      <c r="N113" s="317"/>
      <c r="O113" s="112"/>
      <c r="P113" s="112"/>
      <c r="Q113" s="113"/>
    </row>
    <row r="114" spans="1:17" s="114" customFormat="1" ht="105">
      <c r="A114" s="105">
        <v>7</v>
      </c>
      <c r="B114" s="106" t="s">
        <v>42</v>
      </c>
      <c r="C114" s="105" t="s">
        <v>384</v>
      </c>
      <c r="D114" s="107" t="s">
        <v>397</v>
      </c>
      <c r="E114" s="108" t="s">
        <v>510</v>
      </c>
      <c r="F114" s="105">
        <v>27000</v>
      </c>
      <c r="G114" s="108" t="s">
        <v>254</v>
      </c>
      <c r="H114" s="109">
        <v>27000</v>
      </c>
      <c r="I114" s="109" t="s">
        <v>34</v>
      </c>
      <c r="J114" s="110">
        <v>44651</v>
      </c>
      <c r="K114" s="122" t="s">
        <v>61</v>
      </c>
      <c r="L114" s="109"/>
      <c r="M114" s="109"/>
      <c r="N114" s="317"/>
      <c r="O114" s="112"/>
      <c r="P114" s="112"/>
      <c r="Q114" s="113"/>
    </row>
    <row r="115" spans="1:17" s="114" customFormat="1" ht="105">
      <c r="A115" s="105">
        <v>8</v>
      </c>
      <c r="B115" s="106" t="s">
        <v>42</v>
      </c>
      <c r="C115" s="105" t="s">
        <v>384</v>
      </c>
      <c r="D115" s="107" t="s">
        <v>398</v>
      </c>
      <c r="E115" s="108" t="s">
        <v>508</v>
      </c>
      <c r="F115" s="105">
        <v>27000</v>
      </c>
      <c r="G115" s="108" t="s">
        <v>399</v>
      </c>
      <c r="H115" s="109">
        <v>27000</v>
      </c>
      <c r="I115" s="109" t="s">
        <v>34</v>
      </c>
      <c r="J115" s="110">
        <v>44651</v>
      </c>
      <c r="K115" s="122" t="s">
        <v>61</v>
      </c>
      <c r="L115" s="109"/>
      <c r="M115" s="109"/>
      <c r="N115" s="317"/>
      <c r="O115" s="112"/>
      <c r="P115" s="112"/>
      <c r="Q115" s="113"/>
    </row>
    <row r="116" spans="1:17" s="114" customFormat="1" ht="84">
      <c r="A116" s="105">
        <v>9</v>
      </c>
      <c r="B116" s="106" t="s">
        <v>42</v>
      </c>
      <c r="C116" s="105" t="s">
        <v>384</v>
      </c>
      <c r="D116" s="107" t="s">
        <v>390</v>
      </c>
      <c r="E116" s="108" t="s">
        <v>386</v>
      </c>
      <c r="F116" s="105">
        <f>315*90</f>
        <v>28350</v>
      </c>
      <c r="G116" s="108" t="s">
        <v>389</v>
      </c>
      <c r="H116" s="109">
        <f>F116</f>
        <v>28350</v>
      </c>
      <c r="I116" s="109" t="s">
        <v>34</v>
      </c>
      <c r="J116" s="110">
        <v>44651</v>
      </c>
      <c r="K116" s="122" t="s">
        <v>61</v>
      </c>
      <c r="L116" s="109"/>
      <c r="M116" s="109"/>
      <c r="N116" s="317">
        <f>6300</f>
        <v>6300</v>
      </c>
      <c r="O116" s="112"/>
      <c r="P116" s="112"/>
      <c r="Q116" s="113"/>
    </row>
    <row r="117" spans="1:17" s="114" customFormat="1" ht="105">
      <c r="A117" s="105">
        <v>10</v>
      </c>
      <c r="B117" s="106" t="s">
        <v>42</v>
      </c>
      <c r="C117" s="105" t="s">
        <v>384</v>
      </c>
      <c r="D117" s="107" t="s">
        <v>400</v>
      </c>
      <c r="E117" s="108" t="s">
        <v>402</v>
      </c>
      <c r="F117" s="105">
        <f>315*90</f>
        <v>28350</v>
      </c>
      <c r="G117" s="108" t="s">
        <v>258</v>
      </c>
      <c r="H117" s="109">
        <f>F117</f>
        <v>28350</v>
      </c>
      <c r="I117" s="109" t="s">
        <v>34</v>
      </c>
      <c r="J117" s="110">
        <v>44651</v>
      </c>
      <c r="K117" s="122" t="s">
        <v>61</v>
      </c>
      <c r="L117" s="110">
        <v>44651</v>
      </c>
      <c r="M117" s="110">
        <v>44651</v>
      </c>
      <c r="N117" s="178">
        <f>6300</f>
        <v>6300</v>
      </c>
      <c r="O117" s="112"/>
      <c r="P117" s="112"/>
      <c r="Q117" s="113"/>
    </row>
    <row r="118" spans="1:17" s="114" customFormat="1" ht="105">
      <c r="A118" s="105">
        <v>11</v>
      </c>
      <c r="B118" s="106" t="s">
        <v>42</v>
      </c>
      <c r="C118" s="105" t="s">
        <v>384</v>
      </c>
      <c r="D118" s="107" t="s">
        <v>401</v>
      </c>
      <c r="E118" s="108" t="s">
        <v>402</v>
      </c>
      <c r="F118" s="105">
        <f>315*90</f>
        <v>28350</v>
      </c>
      <c r="G118" s="108" t="s">
        <v>259</v>
      </c>
      <c r="H118" s="109">
        <f>F118</f>
        <v>28350</v>
      </c>
      <c r="I118" s="109" t="s">
        <v>34</v>
      </c>
      <c r="J118" s="110">
        <v>44651</v>
      </c>
      <c r="K118" s="122" t="s">
        <v>61</v>
      </c>
      <c r="L118" s="110">
        <v>44651</v>
      </c>
      <c r="M118" s="110">
        <v>44651</v>
      </c>
      <c r="N118" s="178">
        <f>6300</f>
        <v>6300</v>
      </c>
      <c r="O118" s="112"/>
      <c r="P118" s="112"/>
      <c r="Q118" s="113"/>
    </row>
    <row r="119" spans="1:17" s="114" customFormat="1" ht="84">
      <c r="A119" s="105">
        <v>12</v>
      </c>
      <c r="B119" s="106" t="s">
        <v>42</v>
      </c>
      <c r="C119" s="105" t="s">
        <v>384</v>
      </c>
      <c r="D119" s="107" t="s">
        <v>403</v>
      </c>
      <c r="E119" s="108" t="s">
        <v>404</v>
      </c>
      <c r="F119" s="105">
        <v>27000</v>
      </c>
      <c r="G119" s="108" t="s">
        <v>415</v>
      </c>
      <c r="H119" s="109">
        <v>27000</v>
      </c>
      <c r="I119" s="109" t="s">
        <v>34</v>
      </c>
      <c r="J119" s="110">
        <v>44651</v>
      </c>
      <c r="K119" s="122" t="s">
        <v>61</v>
      </c>
      <c r="L119" s="109"/>
      <c r="M119" s="109"/>
      <c r="N119" s="317"/>
      <c r="O119" s="112"/>
      <c r="P119" s="112"/>
      <c r="Q119" s="113"/>
    </row>
    <row r="120" spans="1:17" s="114" customFormat="1" ht="84">
      <c r="A120" s="105">
        <v>13</v>
      </c>
      <c r="B120" s="106" t="s">
        <v>42</v>
      </c>
      <c r="C120" s="105" t="s">
        <v>384</v>
      </c>
      <c r="D120" s="107" t="s">
        <v>417</v>
      </c>
      <c r="E120" s="108" t="s">
        <v>404</v>
      </c>
      <c r="F120" s="105">
        <v>27000</v>
      </c>
      <c r="G120" s="108" t="s">
        <v>418</v>
      </c>
      <c r="H120" s="109">
        <v>27000</v>
      </c>
      <c r="I120" s="109" t="s">
        <v>34</v>
      </c>
      <c r="J120" s="110">
        <v>44651</v>
      </c>
      <c r="K120" s="122" t="s">
        <v>61</v>
      </c>
      <c r="L120" s="109"/>
      <c r="M120" s="109"/>
      <c r="N120" s="317"/>
      <c r="O120" s="112"/>
      <c r="P120" s="112"/>
      <c r="Q120" s="113"/>
    </row>
    <row r="121" spans="1:17" s="114" customFormat="1" ht="105">
      <c r="A121" s="105">
        <v>14</v>
      </c>
      <c r="B121" s="106" t="s">
        <v>42</v>
      </c>
      <c r="C121" s="105" t="s">
        <v>384</v>
      </c>
      <c r="D121" s="107" t="s">
        <v>419</v>
      </c>
      <c r="E121" s="108" t="s">
        <v>420</v>
      </c>
      <c r="F121" s="105">
        <v>27000</v>
      </c>
      <c r="G121" s="108" t="s">
        <v>413</v>
      </c>
      <c r="H121" s="109">
        <v>27000</v>
      </c>
      <c r="I121" s="109" t="s">
        <v>34</v>
      </c>
      <c r="J121" s="110">
        <v>44651</v>
      </c>
      <c r="K121" s="122" t="s">
        <v>61</v>
      </c>
      <c r="L121" s="109"/>
      <c r="M121" s="109"/>
      <c r="N121" s="317"/>
      <c r="O121" s="112"/>
      <c r="P121" s="112"/>
      <c r="Q121" s="113"/>
    </row>
    <row r="122" spans="1:17" s="114" customFormat="1" ht="105">
      <c r="A122" s="105">
        <v>15</v>
      </c>
      <c r="B122" s="106" t="s">
        <v>42</v>
      </c>
      <c r="C122" s="105" t="s">
        <v>384</v>
      </c>
      <c r="D122" s="107" t="s">
        <v>421</v>
      </c>
      <c r="E122" s="108" t="s">
        <v>424</v>
      </c>
      <c r="F122" s="105">
        <v>27000</v>
      </c>
      <c r="G122" s="108" t="s">
        <v>197</v>
      </c>
      <c r="H122" s="109">
        <f t="shared" ref="H122:H124" si="6">F122</f>
        <v>27000</v>
      </c>
      <c r="I122" s="109" t="s">
        <v>34</v>
      </c>
      <c r="J122" s="110">
        <v>44742</v>
      </c>
      <c r="K122" s="122" t="s">
        <v>115</v>
      </c>
      <c r="L122" s="109"/>
      <c r="M122" s="109"/>
      <c r="N122" s="317"/>
      <c r="O122" s="112"/>
      <c r="P122" s="112"/>
      <c r="Q122" s="113"/>
    </row>
    <row r="123" spans="1:17" s="114" customFormat="1" ht="105">
      <c r="A123" s="105">
        <v>16</v>
      </c>
      <c r="B123" s="106" t="s">
        <v>42</v>
      </c>
      <c r="C123" s="105" t="s">
        <v>384</v>
      </c>
      <c r="D123" s="107" t="s">
        <v>425</v>
      </c>
      <c r="E123" s="108" t="s">
        <v>442</v>
      </c>
      <c r="F123" s="105">
        <v>27000</v>
      </c>
      <c r="G123" s="108" t="s">
        <v>434</v>
      </c>
      <c r="H123" s="109">
        <f t="shared" si="6"/>
        <v>27000</v>
      </c>
      <c r="I123" s="109" t="s">
        <v>34</v>
      </c>
      <c r="J123" s="110">
        <v>44651</v>
      </c>
      <c r="K123" s="115" t="s">
        <v>38</v>
      </c>
      <c r="L123" s="109"/>
      <c r="M123" s="109"/>
      <c r="N123" s="317"/>
      <c r="O123" s="112"/>
      <c r="P123" s="112"/>
      <c r="Q123" s="113"/>
    </row>
    <row r="124" spans="1:17" s="114" customFormat="1" ht="126">
      <c r="A124" s="105">
        <v>17</v>
      </c>
      <c r="B124" s="106" t="s">
        <v>42</v>
      </c>
      <c r="C124" s="105" t="s">
        <v>384</v>
      </c>
      <c r="D124" s="107" t="s">
        <v>441</v>
      </c>
      <c r="E124" s="108" t="s">
        <v>427</v>
      </c>
      <c r="F124" s="105">
        <v>27000</v>
      </c>
      <c r="G124" s="108" t="s">
        <v>198</v>
      </c>
      <c r="H124" s="109">
        <f t="shared" si="6"/>
        <v>27000</v>
      </c>
      <c r="I124" s="109" t="s">
        <v>34</v>
      </c>
      <c r="J124" s="110">
        <v>44742</v>
      </c>
      <c r="K124" s="122" t="s">
        <v>115</v>
      </c>
      <c r="L124" s="109"/>
      <c r="M124" s="109"/>
      <c r="N124" s="317"/>
      <c r="O124" s="112"/>
      <c r="P124" s="112"/>
      <c r="Q124" s="113"/>
    </row>
    <row r="125" spans="1:17" s="114" customFormat="1" ht="84">
      <c r="A125" s="105">
        <v>18</v>
      </c>
      <c r="B125" s="106" t="s">
        <v>42</v>
      </c>
      <c r="C125" s="105" t="s">
        <v>384</v>
      </c>
      <c r="D125" s="107" t="s">
        <v>426</v>
      </c>
      <c r="E125" s="108" t="s">
        <v>428</v>
      </c>
      <c r="F125" s="105">
        <v>27000</v>
      </c>
      <c r="G125" s="108" t="s">
        <v>260</v>
      </c>
      <c r="H125" s="109">
        <v>27000</v>
      </c>
      <c r="I125" s="109" t="s">
        <v>34</v>
      </c>
      <c r="J125" s="110">
        <v>44651</v>
      </c>
      <c r="K125" s="122" t="s">
        <v>61</v>
      </c>
      <c r="L125" s="109"/>
      <c r="M125" s="109"/>
      <c r="N125" s="317"/>
      <c r="O125" s="112"/>
      <c r="P125" s="112"/>
      <c r="Q125" s="113"/>
    </row>
    <row r="126" spans="1:17" s="114" customFormat="1" ht="84">
      <c r="A126" s="105">
        <v>19</v>
      </c>
      <c r="B126" s="106" t="s">
        <v>42</v>
      </c>
      <c r="C126" s="105" t="s">
        <v>384</v>
      </c>
      <c r="D126" s="107" t="s">
        <v>430</v>
      </c>
      <c r="E126" s="108" t="s">
        <v>428</v>
      </c>
      <c r="F126" s="105">
        <v>27000</v>
      </c>
      <c r="G126" s="108" t="s">
        <v>429</v>
      </c>
      <c r="H126" s="109">
        <v>27000</v>
      </c>
      <c r="I126" s="109" t="s">
        <v>34</v>
      </c>
      <c r="J126" s="110">
        <v>44651</v>
      </c>
      <c r="K126" s="122" t="s">
        <v>61</v>
      </c>
      <c r="L126" s="109"/>
      <c r="M126" s="109"/>
      <c r="N126" s="317"/>
      <c r="O126" s="112"/>
      <c r="P126" s="112"/>
      <c r="Q126" s="113"/>
    </row>
    <row r="127" spans="1:17" s="114" customFormat="1" ht="84">
      <c r="A127" s="105">
        <v>20</v>
      </c>
      <c r="B127" s="106" t="s">
        <v>42</v>
      </c>
      <c r="C127" s="105" t="s">
        <v>384</v>
      </c>
      <c r="D127" s="107" t="s">
        <v>432</v>
      </c>
      <c r="E127" s="108" t="s">
        <v>428</v>
      </c>
      <c r="F127" s="105">
        <v>27000</v>
      </c>
      <c r="G127" s="108" t="s">
        <v>407</v>
      </c>
      <c r="H127" s="109">
        <v>27000</v>
      </c>
      <c r="I127" s="109" t="s">
        <v>34</v>
      </c>
      <c r="J127" s="110">
        <v>44651</v>
      </c>
      <c r="K127" s="122" t="s">
        <v>61</v>
      </c>
      <c r="L127" s="109"/>
      <c r="M127" s="109"/>
      <c r="N127" s="317"/>
      <c r="O127" s="112"/>
      <c r="P127" s="112"/>
      <c r="Q127" s="113"/>
    </row>
    <row r="128" spans="1:17" s="114" customFormat="1" ht="84">
      <c r="A128" s="105">
        <v>21</v>
      </c>
      <c r="B128" s="106" t="s">
        <v>42</v>
      </c>
      <c r="C128" s="105" t="s">
        <v>384</v>
      </c>
      <c r="D128" s="107" t="s">
        <v>433</v>
      </c>
      <c r="E128" s="108" t="s">
        <v>428</v>
      </c>
      <c r="F128" s="105">
        <v>27000</v>
      </c>
      <c r="G128" s="108" t="s">
        <v>431</v>
      </c>
      <c r="H128" s="109">
        <v>27000</v>
      </c>
      <c r="I128" s="109" t="s">
        <v>34</v>
      </c>
      <c r="J128" s="110">
        <v>44651</v>
      </c>
      <c r="K128" s="122" t="s">
        <v>61</v>
      </c>
      <c r="L128" s="109"/>
      <c r="M128" s="109"/>
      <c r="N128" s="111"/>
      <c r="O128" s="112"/>
      <c r="P128" s="112"/>
      <c r="Q128" s="113"/>
    </row>
    <row r="129" spans="1:17" s="190" customFormat="1" ht="84">
      <c r="A129" s="182">
        <v>22</v>
      </c>
      <c r="B129" s="183" t="s">
        <v>42</v>
      </c>
      <c r="C129" s="182" t="s">
        <v>384</v>
      </c>
      <c r="D129" s="184" t="s">
        <v>435</v>
      </c>
      <c r="E129" s="185" t="s">
        <v>428</v>
      </c>
      <c r="F129" s="182">
        <v>27000</v>
      </c>
      <c r="G129" s="185" t="s">
        <v>611</v>
      </c>
      <c r="H129" s="186">
        <v>27000</v>
      </c>
      <c r="I129" s="186" t="s">
        <v>34</v>
      </c>
      <c r="J129" s="187">
        <v>44651</v>
      </c>
      <c r="K129" s="181" t="s">
        <v>61</v>
      </c>
      <c r="L129" s="186"/>
      <c r="M129" s="186"/>
      <c r="N129" s="324" t="s">
        <v>612</v>
      </c>
      <c r="O129" s="188"/>
      <c r="P129" s="188"/>
      <c r="Q129" s="189"/>
    </row>
    <row r="130" spans="1:17" s="114" customFormat="1" ht="84">
      <c r="A130" s="105">
        <v>23</v>
      </c>
      <c r="B130" s="106" t="s">
        <v>42</v>
      </c>
      <c r="C130" s="105" t="s">
        <v>384</v>
      </c>
      <c r="D130" s="107" t="s">
        <v>438</v>
      </c>
      <c r="E130" s="108" t="s">
        <v>428</v>
      </c>
      <c r="F130" s="105">
        <v>27000</v>
      </c>
      <c r="G130" s="108" t="s">
        <v>439</v>
      </c>
      <c r="H130" s="109">
        <v>27000</v>
      </c>
      <c r="I130" s="109" t="s">
        <v>34</v>
      </c>
      <c r="J130" s="110">
        <v>44651</v>
      </c>
      <c r="K130" s="122" t="s">
        <v>61</v>
      </c>
      <c r="L130" s="109"/>
      <c r="M130" s="109"/>
      <c r="N130" s="111"/>
      <c r="O130" s="112"/>
      <c r="P130" s="112"/>
      <c r="Q130" s="113"/>
    </row>
    <row r="131" spans="1:17" s="114" customFormat="1" ht="84">
      <c r="A131" s="105">
        <v>24</v>
      </c>
      <c r="B131" s="106" t="s">
        <v>42</v>
      </c>
      <c r="C131" s="105" t="s">
        <v>384</v>
      </c>
      <c r="D131" s="107" t="s">
        <v>437</v>
      </c>
      <c r="E131" s="108" t="s">
        <v>428</v>
      </c>
      <c r="F131" s="105">
        <v>27000</v>
      </c>
      <c r="G131" s="108" t="s">
        <v>485</v>
      </c>
      <c r="H131" s="109">
        <v>27000</v>
      </c>
      <c r="I131" s="109" t="s">
        <v>34</v>
      </c>
      <c r="J131" s="110">
        <v>44561</v>
      </c>
      <c r="K131" s="122" t="s">
        <v>61</v>
      </c>
      <c r="L131" s="109"/>
      <c r="M131" s="109"/>
      <c r="N131" s="111"/>
      <c r="O131" s="112"/>
      <c r="P131" s="112"/>
      <c r="Q131" s="113"/>
    </row>
    <row r="132" spans="1:17" s="114" customFormat="1" ht="105">
      <c r="A132" s="105">
        <v>25</v>
      </c>
      <c r="B132" s="106" t="s">
        <v>42</v>
      </c>
      <c r="C132" s="105" t="s">
        <v>384</v>
      </c>
      <c r="D132" s="107" t="s">
        <v>458</v>
      </c>
      <c r="E132" s="108" t="s">
        <v>483</v>
      </c>
      <c r="F132" s="105">
        <f t="shared" ref="F132" si="7">6*9000</f>
        <v>54000</v>
      </c>
      <c r="G132" s="108" t="s">
        <v>484</v>
      </c>
      <c r="H132" s="109">
        <f>F132</f>
        <v>54000</v>
      </c>
      <c r="I132" s="109" t="s">
        <v>34</v>
      </c>
      <c r="J132" s="110">
        <v>44742</v>
      </c>
      <c r="K132" s="109" t="s">
        <v>26</v>
      </c>
      <c r="L132" s="109"/>
      <c r="M132" s="109"/>
      <c r="N132" s="111"/>
      <c r="O132" s="112"/>
      <c r="P132" s="112"/>
      <c r="Q132" s="113"/>
    </row>
    <row r="133" spans="1:17" s="114" customFormat="1" ht="84">
      <c r="A133" s="105">
        <v>26</v>
      </c>
      <c r="B133" s="106" t="s">
        <v>42</v>
      </c>
      <c r="C133" s="105" t="s">
        <v>384</v>
      </c>
      <c r="D133" s="107" t="s">
        <v>444</v>
      </c>
      <c r="E133" s="108" t="s">
        <v>443</v>
      </c>
      <c r="F133" s="105">
        <v>27000</v>
      </c>
      <c r="G133" s="108" t="s">
        <v>211</v>
      </c>
      <c r="H133" s="109">
        <f t="shared" ref="H133:H137" si="8">F133</f>
        <v>27000</v>
      </c>
      <c r="I133" s="109" t="s">
        <v>34</v>
      </c>
      <c r="J133" s="110">
        <v>44651</v>
      </c>
      <c r="K133" s="115" t="s">
        <v>38</v>
      </c>
      <c r="L133" s="109"/>
      <c r="M133" s="109"/>
      <c r="N133" s="111"/>
      <c r="O133" s="112"/>
      <c r="P133" s="112"/>
      <c r="Q133" s="113"/>
    </row>
    <row r="134" spans="1:17" s="114" customFormat="1" ht="105">
      <c r="A134" s="105">
        <v>27</v>
      </c>
      <c r="B134" s="106" t="s">
        <v>42</v>
      </c>
      <c r="C134" s="105" t="s">
        <v>384</v>
      </c>
      <c r="D134" s="107" t="s">
        <v>445</v>
      </c>
      <c r="E134" s="108" t="s">
        <v>446</v>
      </c>
      <c r="F134" s="105">
        <v>27000</v>
      </c>
      <c r="G134" s="108" t="s">
        <v>200</v>
      </c>
      <c r="H134" s="109">
        <f t="shared" si="8"/>
        <v>27000</v>
      </c>
      <c r="I134" s="109" t="s">
        <v>34</v>
      </c>
      <c r="J134" s="110">
        <v>44651</v>
      </c>
      <c r="K134" s="115" t="s">
        <v>38</v>
      </c>
      <c r="L134" s="109"/>
      <c r="M134" s="109"/>
      <c r="N134" s="111"/>
      <c r="O134" s="112"/>
      <c r="P134" s="112"/>
      <c r="Q134" s="113"/>
    </row>
    <row r="135" spans="1:17" s="114" customFormat="1" ht="105">
      <c r="A135" s="105">
        <v>28</v>
      </c>
      <c r="B135" s="106" t="s">
        <v>42</v>
      </c>
      <c r="C135" s="105" t="s">
        <v>384</v>
      </c>
      <c r="D135" s="107" t="s">
        <v>447</v>
      </c>
      <c r="E135" s="108" t="s">
        <v>448</v>
      </c>
      <c r="F135" s="105">
        <v>27000</v>
      </c>
      <c r="G135" s="108" t="s">
        <v>204</v>
      </c>
      <c r="H135" s="109">
        <f t="shared" si="8"/>
        <v>27000</v>
      </c>
      <c r="I135" s="109" t="s">
        <v>34</v>
      </c>
      <c r="J135" s="110">
        <v>44651</v>
      </c>
      <c r="K135" s="115" t="s">
        <v>38</v>
      </c>
      <c r="L135" s="109"/>
      <c r="M135" s="109"/>
      <c r="N135" s="111"/>
      <c r="O135" s="112"/>
      <c r="P135" s="112"/>
      <c r="Q135" s="113"/>
    </row>
    <row r="136" spans="1:17" s="114" customFormat="1" ht="105">
      <c r="A136" s="105">
        <v>29</v>
      </c>
      <c r="B136" s="106" t="s">
        <v>42</v>
      </c>
      <c r="C136" s="105" t="s">
        <v>384</v>
      </c>
      <c r="D136" s="107" t="s">
        <v>451</v>
      </c>
      <c r="E136" s="108" t="s">
        <v>449</v>
      </c>
      <c r="F136" s="105">
        <v>27000</v>
      </c>
      <c r="G136" s="108" t="s">
        <v>206</v>
      </c>
      <c r="H136" s="109">
        <f t="shared" si="8"/>
        <v>27000</v>
      </c>
      <c r="I136" s="109" t="s">
        <v>34</v>
      </c>
      <c r="J136" s="110">
        <v>44651</v>
      </c>
      <c r="K136" s="115" t="s">
        <v>38</v>
      </c>
      <c r="L136" s="109"/>
      <c r="M136" s="109"/>
      <c r="N136" s="111"/>
      <c r="O136" s="112"/>
      <c r="P136" s="112"/>
      <c r="Q136" s="113"/>
    </row>
    <row r="137" spans="1:17" s="114" customFormat="1" ht="105">
      <c r="A137" s="105">
        <v>30</v>
      </c>
      <c r="B137" s="106" t="s">
        <v>42</v>
      </c>
      <c r="C137" s="105" t="s">
        <v>384</v>
      </c>
      <c r="D137" s="107" t="s">
        <v>452</v>
      </c>
      <c r="E137" s="108" t="s">
        <v>687</v>
      </c>
      <c r="F137" s="105">
        <v>27000</v>
      </c>
      <c r="G137" s="108" t="s">
        <v>209</v>
      </c>
      <c r="H137" s="109">
        <f t="shared" si="8"/>
        <v>27000</v>
      </c>
      <c r="I137" s="109" t="s">
        <v>34</v>
      </c>
      <c r="J137" s="110">
        <v>44651</v>
      </c>
      <c r="K137" s="115" t="s">
        <v>38</v>
      </c>
      <c r="L137" s="109"/>
      <c r="M137" s="109"/>
      <c r="N137" s="111"/>
      <c r="O137" s="112"/>
      <c r="P137" s="112"/>
      <c r="Q137" s="113"/>
    </row>
    <row r="138" spans="1:17" s="114" customFormat="1" ht="84">
      <c r="A138" s="105">
        <v>31</v>
      </c>
      <c r="B138" s="106" t="s">
        <v>42</v>
      </c>
      <c r="C138" s="105" t="s">
        <v>384</v>
      </c>
      <c r="D138" s="107" t="s">
        <v>440</v>
      </c>
      <c r="E138" s="108" t="s">
        <v>392</v>
      </c>
      <c r="F138" s="105">
        <f>315*90</f>
        <v>28350</v>
      </c>
      <c r="G138" s="108" t="s">
        <v>262</v>
      </c>
      <c r="H138" s="109">
        <f>F138</f>
        <v>28350</v>
      </c>
      <c r="I138" s="109" t="s">
        <v>34</v>
      </c>
      <c r="J138" s="110">
        <v>44651</v>
      </c>
      <c r="K138" s="122" t="s">
        <v>61</v>
      </c>
      <c r="L138" s="110">
        <v>44651</v>
      </c>
      <c r="M138" s="110">
        <v>44651</v>
      </c>
      <c r="N138" s="317">
        <f>6300</f>
        <v>6300</v>
      </c>
      <c r="O138" s="112"/>
      <c r="P138" s="112"/>
      <c r="Q138" s="113"/>
    </row>
    <row r="139" spans="1:17" s="114" customFormat="1" ht="105">
      <c r="A139" s="105">
        <v>32</v>
      </c>
      <c r="B139" s="106" t="s">
        <v>42</v>
      </c>
      <c r="C139" s="105" t="s">
        <v>384</v>
      </c>
      <c r="D139" s="107" t="s">
        <v>459</v>
      </c>
      <c r="E139" s="108" t="s">
        <v>651</v>
      </c>
      <c r="F139" s="105">
        <v>27000</v>
      </c>
      <c r="G139" s="108" t="s">
        <v>213</v>
      </c>
      <c r="H139" s="109">
        <f t="shared" ref="H139:H140" si="9">F139</f>
        <v>27000</v>
      </c>
      <c r="I139" s="109" t="s">
        <v>34</v>
      </c>
      <c r="J139" s="110">
        <v>44651</v>
      </c>
      <c r="K139" s="115" t="s">
        <v>38</v>
      </c>
      <c r="L139" s="109"/>
      <c r="M139" s="109"/>
      <c r="N139" s="111"/>
      <c r="O139" s="112"/>
      <c r="P139" s="112"/>
      <c r="Q139" s="113"/>
    </row>
    <row r="140" spans="1:17" s="190" customFormat="1" ht="105">
      <c r="A140" s="182">
        <v>33</v>
      </c>
      <c r="B140" s="183" t="s">
        <v>42</v>
      </c>
      <c r="C140" s="182" t="s">
        <v>384</v>
      </c>
      <c r="D140" s="184" t="s">
        <v>460</v>
      </c>
      <c r="E140" s="185" t="s">
        <v>208</v>
      </c>
      <c r="F140" s="182">
        <v>27000</v>
      </c>
      <c r="G140" s="185" t="s">
        <v>209</v>
      </c>
      <c r="H140" s="186">
        <f t="shared" si="9"/>
        <v>27000</v>
      </c>
      <c r="I140" s="186" t="s">
        <v>34</v>
      </c>
      <c r="J140" s="187">
        <v>44651</v>
      </c>
      <c r="K140" s="325" t="s">
        <v>38</v>
      </c>
      <c r="L140" s="186"/>
      <c r="M140" s="186"/>
      <c r="N140" s="324"/>
      <c r="O140" s="188"/>
      <c r="P140" s="188"/>
      <c r="Q140" s="189"/>
    </row>
    <row r="141" spans="1:17" s="114" customFormat="1" ht="84">
      <c r="A141" s="105">
        <v>34</v>
      </c>
      <c r="B141" s="106" t="s">
        <v>42</v>
      </c>
      <c r="C141" s="105" t="s">
        <v>384</v>
      </c>
      <c r="D141" s="107" t="s">
        <v>461</v>
      </c>
      <c r="E141" s="108" t="s">
        <v>428</v>
      </c>
      <c r="F141" s="105">
        <v>27000</v>
      </c>
      <c r="G141" s="108" t="s">
        <v>512</v>
      </c>
      <c r="H141" s="109">
        <v>27000</v>
      </c>
      <c r="I141" s="109" t="s">
        <v>34</v>
      </c>
      <c r="J141" s="110">
        <v>44651</v>
      </c>
      <c r="K141" s="122" t="s">
        <v>61</v>
      </c>
      <c r="L141" s="109"/>
      <c r="M141" s="109"/>
      <c r="N141" s="111"/>
      <c r="O141" s="112"/>
      <c r="P141" s="112"/>
      <c r="Q141" s="113"/>
    </row>
    <row r="142" spans="1:17" s="114" customFormat="1" ht="84">
      <c r="A142" s="105">
        <v>35</v>
      </c>
      <c r="B142" s="106" t="s">
        <v>42</v>
      </c>
      <c r="C142" s="105" t="s">
        <v>384</v>
      </c>
      <c r="D142" s="107" t="s">
        <v>462</v>
      </c>
      <c r="E142" s="108" t="s">
        <v>463</v>
      </c>
      <c r="F142" s="105">
        <f>6*9000</f>
        <v>54000</v>
      </c>
      <c r="G142" s="108" t="s">
        <v>243</v>
      </c>
      <c r="H142" s="109">
        <f>F142</f>
        <v>54000</v>
      </c>
      <c r="I142" s="109" t="s">
        <v>34</v>
      </c>
      <c r="J142" s="110">
        <v>44742</v>
      </c>
      <c r="K142" s="109" t="s">
        <v>26</v>
      </c>
      <c r="L142" s="109"/>
      <c r="M142" s="109"/>
      <c r="N142" s="111"/>
      <c r="O142" s="112"/>
      <c r="P142" s="112"/>
      <c r="Q142" s="113"/>
    </row>
    <row r="143" spans="1:17" s="114" customFormat="1" ht="105">
      <c r="A143" s="105">
        <v>36</v>
      </c>
      <c r="B143" s="106" t="s">
        <v>42</v>
      </c>
      <c r="C143" s="105" t="s">
        <v>384</v>
      </c>
      <c r="D143" s="107" t="s">
        <v>464</v>
      </c>
      <c r="E143" s="108" t="s">
        <v>465</v>
      </c>
      <c r="F143" s="105">
        <f t="shared" ref="F143:F154" si="10">6*9000</f>
        <v>54000</v>
      </c>
      <c r="G143" s="108" t="s">
        <v>250</v>
      </c>
      <c r="H143" s="109">
        <f t="shared" ref="H143:H154" si="11">F143</f>
        <v>54000</v>
      </c>
      <c r="I143" s="109" t="s">
        <v>34</v>
      </c>
      <c r="J143" s="110">
        <v>44742</v>
      </c>
      <c r="K143" s="109" t="s">
        <v>26</v>
      </c>
      <c r="L143" s="109"/>
      <c r="M143" s="109"/>
      <c r="N143" s="111"/>
      <c r="O143" s="112"/>
      <c r="P143" s="112"/>
      <c r="Q143" s="113"/>
    </row>
    <row r="144" spans="1:17" s="114" customFormat="1" ht="105">
      <c r="A144" s="105">
        <v>37</v>
      </c>
      <c r="B144" s="106" t="s">
        <v>42</v>
      </c>
      <c r="C144" s="105" t="s">
        <v>384</v>
      </c>
      <c r="D144" s="107" t="s">
        <v>466</v>
      </c>
      <c r="E144" s="108" t="s">
        <v>467</v>
      </c>
      <c r="F144" s="105">
        <f t="shared" si="10"/>
        <v>54000</v>
      </c>
      <c r="G144" s="108" t="s">
        <v>247</v>
      </c>
      <c r="H144" s="109">
        <f t="shared" si="11"/>
        <v>54000</v>
      </c>
      <c r="I144" s="109" t="s">
        <v>34</v>
      </c>
      <c r="J144" s="110">
        <v>44742</v>
      </c>
      <c r="K144" s="109" t="s">
        <v>26</v>
      </c>
      <c r="L144" s="109"/>
      <c r="M144" s="109"/>
      <c r="N144" s="111"/>
      <c r="O144" s="112"/>
      <c r="P144" s="112"/>
      <c r="Q144" s="113"/>
    </row>
    <row r="145" spans="1:17" s="114" customFormat="1" ht="105">
      <c r="A145" s="105">
        <v>38</v>
      </c>
      <c r="B145" s="106" t="s">
        <v>42</v>
      </c>
      <c r="C145" s="105" t="s">
        <v>384</v>
      </c>
      <c r="D145" s="107" t="s">
        <v>468</v>
      </c>
      <c r="E145" s="108" t="s">
        <v>469</v>
      </c>
      <c r="F145" s="105">
        <f t="shared" si="10"/>
        <v>54000</v>
      </c>
      <c r="G145" s="108" t="s">
        <v>251</v>
      </c>
      <c r="H145" s="109">
        <f t="shared" si="11"/>
        <v>54000</v>
      </c>
      <c r="I145" s="109" t="s">
        <v>34</v>
      </c>
      <c r="J145" s="110">
        <v>44742</v>
      </c>
      <c r="K145" s="109" t="s">
        <v>26</v>
      </c>
      <c r="L145" s="109"/>
      <c r="M145" s="109"/>
      <c r="N145" s="111"/>
      <c r="O145" s="112"/>
      <c r="P145" s="112"/>
      <c r="Q145" s="113"/>
    </row>
    <row r="146" spans="1:17" s="114" customFormat="1" ht="105">
      <c r="A146" s="105">
        <v>39</v>
      </c>
      <c r="B146" s="106" t="s">
        <v>42</v>
      </c>
      <c r="C146" s="105" t="s">
        <v>384</v>
      </c>
      <c r="D146" s="107" t="s">
        <v>470</v>
      </c>
      <c r="E146" s="108" t="s">
        <v>471</v>
      </c>
      <c r="F146" s="105">
        <f t="shared" si="10"/>
        <v>54000</v>
      </c>
      <c r="G146" s="108" t="s">
        <v>249</v>
      </c>
      <c r="H146" s="109">
        <f t="shared" si="11"/>
        <v>54000</v>
      </c>
      <c r="I146" s="109" t="s">
        <v>34</v>
      </c>
      <c r="J146" s="110">
        <v>44742</v>
      </c>
      <c r="K146" s="109" t="s">
        <v>26</v>
      </c>
      <c r="L146" s="109"/>
      <c r="M146" s="109"/>
      <c r="N146" s="111"/>
      <c r="O146" s="112"/>
      <c r="P146" s="112"/>
      <c r="Q146" s="113"/>
    </row>
    <row r="147" spans="1:17" s="114" customFormat="1" ht="105">
      <c r="A147" s="105">
        <v>40</v>
      </c>
      <c r="B147" s="106" t="s">
        <v>42</v>
      </c>
      <c r="C147" s="105" t="s">
        <v>384</v>
      </c>
      <c r="D147" s="107" t="s">
        <v>472</v>
      </c>
      <c r="E147" s="108" t="s">
        <v>473</v>
      </c>
      <c r="F147" s="105">
        <f t="shared" si="10"/>
        <v>54000</v>
      </c>
      <c r="G147" s="108" t="s">
        <v>603</v>
      </c>
      <c r="H147" s="109">
        <f t="shared" si="11"/>
        <v>54000</v>
      </c>
      <c r="I147" s="109" t="s">
        <v>34</v>
      </c>
      <c r="J147" s="110">
        <v>44742</v>
      </c>
      <c r="K147" s="109" t="s">
        <v>26</v>
      </c>
      <c r="L147" s="109"/>
      <c r="M147" s="109"/>
      <c r="N147" s="111"/>
      <c r="O147" s="112"/>
      <c r="P147" s="112"/>
      <c r="Q147" s="113"/>
    </row>
    <row r="148" spans="1:17" s="114" customFormat="1" ht="126">
      <c r="A148" s="105">
        <v>41</v>
      </c>
      <c r="B148" s="106" t="s">
        <v>42</v>
      </c>
      <c r="C148" s="105" t="s">
        <v>384</v>
      </c>
      <c r="D148" s="107" t="s">
        <v>474</v>
      </c>
      <c r="E148" s="108" t="s">
        <v>602</v>
      </c>
      <c r="F148" s="105">
        <f t="shared" si="10"/>
        <v>54000</v>
      </c>
      <c r="G148" s="108" t="s">
        <v>882</v>
      </c>
      <c r="H148" s="109">
        <f t="shared" si="11"/>
        <v>54000</v>
      </c>
      <c r="I148" s="109" t="s">
        <v>34</v>
      </c>
      <c r="J148" s="110">
        <v>44742</v>
      </c>
      <c r="K148" s="109" t="s">
        <v>26</v>
      </c>
      <c r="L148" s="109"/>
      <c r="M148" s="109"/>
      <c r="N148" s="111"/>
      <c r="O148" s="112"/>
      <c r="P148" s="112"/>
      <c r="Q148" s="113"/>
    </row>
    <row r="149" spans="1:17" s="114" customFormat="1" ht="126">
      <c r="A149" s="105">
        <v>42</v>
      </c>
      <c r="B149" s="106" t="s">
        <v>42</v>
      </c>
      <c r="C149" s="105" t="s">
        <v>384</v>
      </c>
      <c r="D149" s="107" t="s">
        <v>475</v>
      </c>
      <c r="E149" s="108" t="s">
        <v>476</v>
      </c>
      <c r="F149" s="105">
        <f t="shared" si="10"/>
        <v>54000</v>
      </c>
      <c r="G149" s="108" t="s">
        <v>244</v>
      </c>
      <c r="H149" s="109">
        <f t="shared" si="11"/>
        <v>54000</v>
      </c>
      <c r="I149" s="109" t="s">
        <v>34</v>
      </c>
      <c r="J149" s="110">
        <v>44742</v>
      </c>
      <c r="K149" s="109" t="s">
        <v>26</v>
      </c>
      <c r="L149" s="109"/>
      <c r="M149" s="109"/>
      <c r="N149" s="111"/>
      <c r="O149" s="112"/>
      <c r="P149" s="112"/>
      <c r="Q149" s="113"/>
    </row>
    <row r="150" spans="1:17" s="114" customFormat="1" ht="84">
      <c r="A150" s="105">
        <v>43</v>
      </c>
      <c r="B150" s="106" t="s">
        <v>42</v>
      </c>
      <c r="C150" s="105" t="s">
        <v>384</v>
      </c>
      <c r="D150" s="107" t="s">
        <v>477</v>
      </c>
      <c r="E150" s="108" t="s">
        <v>478</v>
      </c>
      <c r="F150" s="105">
        <f t="shared" si="10"/>
        <v>54000</v>
      </c>
      <c r="G150" s="108" t="s">
        <v>246</v>
      </c>
      <c r="H150" s="109">
        <f t="shared" si="11"/>
        <v>54000</v>
      </c>
      <c r="I150" s="109" t="s">
        <v>34</v>
      </c>
      <c r="J150" s="110">
        <v>44742</v>
      </c>
      <c r="K150" s="109" t="s">
        <v>26</v>
      </c>
      <c r="L150" s="109"/>
      <c r="M150" s="109"/>
      <c r="N150" s="111"/>
      <c r="O150" s="112"/>
      <c r="P150" s="112"/>
      <c r="Q150" s="113"/>
    </row>
    <row r="151" spans="1:17" s="114" customFormat="1" ht="84">
      <c r="A151" s="105">
        <v>44</v>
      </c>
      <c r="B151" s="106" t="s">
        <v>42</v>
      </c>
      <c r="C151" s="105" t="s">
        <v>384</v>
      </c>
      <c r="D151" s="107" t="s">
        <v>479</v>
      </c>
      <c r="E151" s="108" t="s">
        <v>480</v>
      </c>
      <c r="F151" s="105">
        <f t="shared" si="10"/>
        <v>54000</v>
      </c>
      <c r="G151" s="108" t="s">
        <v>241</v>
      </c>
      <c r="H151" s="109">
        <f t="shared" si="11"/>
        <v>54000</v>
      </c>
      <c r="I151" s="109" t="s">
        <v>34</v>
      </c>
      <c r="J151" s="110">
        <v>44742</v>
      </c>
      <c r="K151" s="109" t="s">
        <v>26</v>
      </c>
      <c r="L151" s="109"/>
      <c r="M151" s="109"/>
      <c r="N151" s="111"/>
      <c r="O151" s="112"/>
      <c r="P151" s="112"/>
      <c r="Q151" s="113"/>
    </row>
    <row r="152" spans="1:17" s="114" customFormat="1" ht="105">
      <c r="A152" s="105">
        <v>45</v>
      </c>
      <c r="B152" s="106" t="s">
        <v>42</v>
      </c>
      <c r="C152" s="105" t="s">
        <v>384</v>
      </c>
      <c r="D152" s="107" t="s">
        <v>481</v>
      </c>
      <c r="E152" s="108" t="s">
        <v>482</v>
      </c>
      <c r="F152" s="105">
        <f t="shared" si="10"/>
        <v>54000</v>
      </c>
      <c r="G152" s="108" t="s">
        <v>253</v>
      </c>
      <c r="H152" s="109">
        <f t="shared" si="11"/>
        <v>54000</v>
      </c>
      <c r="I152" s="109" t="s">
        <v>34</v>
      </c>
      <c r="J152" s="110">
        <v>44742</v>
      </c>
      <c r="K152" s="109" t="s">
        <v>26</v>
      </c>
      <c r="L152" s="109"/>
      <c r="M152" s="109"/>
      <c r="N152" s="111"/>
      <c r="O152" s="112"/>
      <c r="P152" s="112"/>
      <c r="Q152" s="113"/>
    </row>
    <row r="153" spans="1:17" s="114" customFormat="1" ht="105">
      <c r="A153" s="105">
        <v>46</v>
      </c>
      <c r="B153" s="106" t="s">
        <v>42</v>
      </c>
      <c r="C153" s="105" t="s">
        <v>384</v>
      </c>
      <c r="D153" s="107" t="s">
        <v>488</v>
      </c>
      <c r="E153" s="108" t="s">
        <v>489</v>
      </c>
      <c r="F153" s="105">
        <f t="shared" si="10"/>
        <v>54000</v>
      </c>
      <c r="G153" s="108" t="s">
        <v>245</v>
      </c>
      <c r="H153" s="109">
        <f t="shared" si="11"/>
        <v>54000</v>
      </c>
      <c r="I153" s="109" t="s">
        <v>34</v>
      </c>
      <c r="J153" s="110">
        <v>44742</v>
      </c>
      <c r="K153" s="109" t="s">
        <v>26</v>
      </c>
      <c r="L153" s="109"/>
      <c r="M153" s="109"/>
      <c r="N153" s="111"/>
      <c r="O153" s="112"/>
      <c r="P153" s="112"/>
      <c r="Q153" s="113"/>
    </row>
    <row r="154" spans="1:17" s="114" customFormat="1" ht="105">
      <c r="A154" s="153">
        <v>47</v>
      </c>
      <c r="B154" s="336" t="s">
        <v>42</v>
      </c>
      <c r="C154" s="153" t="s">
        <v>384</v>
      </c>
      <c r="D154" s="156" t="s">
        <v>486</v>
      </c>
      <c r="E154" s="157" t="s">
        <v>487</v>
      </c>
      <c r="F154" s="153">
        <f t="shared" si="10"/>
        <v>54000</v>
      </c>
      <c r="G154" s="157" t="s">
        <v>240</v>
      </c>
      <c r="H154" s="158">
        <f t="shared" si="11"/>
        <v>54000</v>
      </c>
      <c r="I154" s="158" t="s">
        <v>34</v>
      </c>
      <c r="J154" s="243">
        <v>44742</v>
      </c>
      <c r="K154" s="158" t="s">
        <v>26</v>
      </c>
      <c r="L154" s="158"/>
      <c r="M154" s="158"/>
      <c r="N154" s="337"/>
      <c r="O154" s="112"/>
      <c r="P154" s="112"/>
      <c r="Q154" s="113"/>
    </row>
    <row r="155" spans="1:17" s="114" customFormat="1">
      <c r="A155" s="118"/>
      <c r="B155" s="263"/>
      <c r="C155" s="118"/>
      <c r="D155" s="151"/>
      <c r="E155" s="120"/>
      <c r="F155" s="118"/>
      <c r="G155" s="120"/>
      <c r="H155" s="126"/>
      <c r="I155" s="126"/>
      <c r="J155" s="174"/>
      <c r="K155" s="126"/>
      <c r="L155" s="126"/>
      <c r="M155" s="126"/>
      <c r="N155" s="264"/>
      <c r="O155" s="112"/>
      <c r="P155" s="112"/>
      <c r="Q155" s="113"/>
    </row>
    <row r="156" spans="1:17" s="114" customFormat="1">
      <c r="A156" s="118"/>
      <c r="B156" s="263"/>
      <c r="C156" s="118"/>
      <c r="D156" s="151"/>
      <c r="E156" s="120"/>
      <c r="F156" s="118"/>
      <c r="G156" s="120"/>
      <c r="H156" s="126"/>
      <c r="I156" s="126"/>
      <c r="J156" s="174"/>
      <c r="K156" s="126"/>
      <c r="L156" s="126"/>
      <c r="M156" s="126"/>
      <c r="N156" s="264"/>
      <c r="O156" s="112"/>
      <c r="P156" s="112"/>
      <c r="Q156" s="113"/>
    </row>
    <row r="157" spans="1:17" s="114" customFormat="1">
      <c r="A157" s="118"/>
      <c r="B157" s="263"/>
      <c r="C157" s="118"/>
      <c r="D157" s="151"/>
      <c r="E157" s="120"/>
      <c r="F157" s="118"/>
      <c r="G157" s="120"/>
      <c r="H157" s="126"/>
      <c r="I157" s="126"/>
      <c r="J157" s="174"/>
      <c r="K157" s="126"/>
      <c r="L157" s="126"/>
      <c r="M157" s="126"/>
      <c r="N157" s="264"/>
      <c r="O157" s="112"/>
      <c r="P157" s="112"/>
      <c r="Q157" s="113"/>
    </row>
    <row r="158" spans="1:17" s="114" customFormat="1">
      <c r="A158" s="118"/>
      <c r="B158" s="263"/>
      <c r="C158" s="118"/>
      <c r="D158" s="151"/>
      <c r="E158" s="120"/>
      <c r="F158" s="118"/>
      <c r="G158" s="120"/>
      <c r="H158" s="126"/>
      <c r="I158" s="126"/>
      <c r="J158" s="174"/>
      <c r="K158" s="126"/>
      <c r="L158" s="126"/>
      <c r="M158" s="126"/>
      <c r="N158" s="264"/>
      <c r="O158" s="112"/>
      <c r="P158" s="112"/>
      <c r="Q158" s="113"/>
    </row>
    <row r="159" spans="1:17" s="114" customFormat="1">
      <c r="A159" s="118"/>
      <c r="B159" s="263"/>
      <c r="C159" s="118"/>
      <c r="D159" s="151"/>
      <c r="E159" s="120"/>
      <c r="F159" s="118"/>
      <c r="G159" s="120"/>
      <c r="H159" s="126"/>
      <c r="I159" s="126"/>
      <c r="J159" s="174"/>
      <c r="K159" s="126"/>
      <c r="L159" s="126"/>
      <c r="M159" s="126"/>
      <c r="N159" s="264"/>
      <c r="O159" s="112"/>
      <c r="P159" s="112"/>
      <c r="Q159" s="113"/>
    </row>
    <row r="160" spans="1:17" s="114" customFormat="1">
      <c r="A160" s="118"/>
      <c r="B160" s="263"/>
      <c r="C160" s="118"/>
      <c r="D160" s="151"/>
      <c r="E160" s="120"/>
      <c r="F160" s="118"/>
      <c r="G160" s="120"/>
      <c r="H160" s="126"/>
      <c r="I160" s="126"/>
      <c r="J160" s="174"/>
      <c r="K160" s="126"/>
      <c r="L160" s="126"/>
      <c r="M160" s="126"/>
      <c r="N160" s="264"/>
      <c r="O160" s="112"/>
      <c r="P160" s="112"/>
      <c r="Q160" s="113"/>
    </row>
    <row r="161" spans="1:17" s="114" customFormat="1">
      <c r="A161" s="118"/>
      <c r="B161" s="263"/>
      <c r="C161" s="118"/>
      <c r="D161" s="151"/>
      <c r="E161" s="120"/>
      <c r="F161" s="118"/>
      <c r="G161" s="120"/>
      <c r="H161" s="126"/>
      <c r="I161" s="126"/>
      <c r="J161" s="174"/>
      <c r="K161" s="126"/>
      <c r="L161" s="126"/>
      <c r="M161" s="126"/>
      <c r="N161" s="264"/>
      <c r="O161" s="112"/>
      <c r="P161" s="112"/>
      <c r="Q161" s="113"/>
    </row>
    <row r="162" spans="1:17" s="114" customFormat="1">
      <c r="A162" s="118"/>
      <c r="B162" s="263"/>
      <c r="C162" s="118"/>
      <c r="D162" s="151"/>
      <c r="E162" s="120"/>
      <c r="F162" s="118"/>
      <c r="G162" s="120"/>
      <c r="H162" s="126"/>
      <c r="I162" s="126"/>
      <c r="J162" s="174"/>
      <c r="K162" s="126"/>
      <c r="L162" s="126"/>
      <c r="M162" s="126"/>
      <c r="N162" s="264"/>
      <c r="O162" s="112"/>
      <c r="P162" s="112"/>
      <c r="Q162" s="113"/>
    </row>
    <row r="163" spans="1:17" s="114" customFormat="1">
      <c r="A163" s="118"/>
      <c r="B163" s="263"/>
      <c r="C163" s="118"/>
      <c r="D163" s="151"/>
      <c r="E163" s="120"/>
      <c r="F163" s="118"/>
      <c r="G163" s="120"/>
      <c r="H163" s="126"/>
      <c r="I163" s="126"/>
      <c r="J163" s="174"/>
      <c r="K163" s="126"/>
      <c r="L163" s="126"/>
      <c r="M163" s="126"/>
      <c r="N163" s="264"/>
      <c r="O163" s="112"/>
      <c r="P163" s="112"/>
      <c r="Q163" s="113"/>
    </row>
    <row r="164" spans="1:17" s="114" customFormat="1">
      <c r="A164" s="118"/>
      <c r="B164" s="263"/>
      <c r="C164" s="118"/>
      <c r="D164" s="151"/>
      <c r="E164" s="120"/>
      <c r="F164" s="118"/>
      <c r="G164" s="120"/>
      <c r="H164" s="126"/>
      <c r="I164" s="126"/>
      <c r="J164" s="174"/>
      <c r="K164" s="126"/>
      <c r="L164" s="126"/>
      <c r="M164" s="126"/>
      <c r="N164" s="264"/>
      <c r="O164" s="112"/>
      <c r="P164" s="112"/>
      <c r="Q164" s="113"/>
    </row>
    <row r="165" spans="1:17" s="114" customFormat="1">
      <c r="A165" s="118"/>
      <c r="B165" s="263"/>
      <c r="C165" s="118"/>
      <c r="D165" s="151"/>
      <c r="E165" s="120"/>
      <c r="F165" s="118"/>
      <c r="G165" s="120"/>
      <c r="H165" s="126"/>
      <c r="I165" s="126"/>
      <c r="J165" s="174"/>
      <c r="K165" s="126"/>
      <c r="L165" s="126"/>
      <c r="M165" s="126"/>
      <c r="N165" s="264"/>
      <c r="O165" s="112"/>
      <c r="P165" s="112"/>
      <c r="Q165" s="113"/>
    </row>
    <row r="166" spans="1:17" s="114" customFormat="1">
      <c r="A166" s="118"/>
      <c r="B166" s="263"/>
      <c r="C166" s="118"/>
      <c r="D166" s="151"/>
      <c r="E166" s="120"/>
      <c r="F166" s="118"/>
      <c r="G166" s="120"/>
      <c r="H166" s="126"/>
      <c r="I166" s="126"/>
      <c r="J166" s="174"/>
      <c r="K166" s="126"/>
      <c r="L166" s="126"/>
      <c r="M166" s="126"/>
      <c r="N166" s="264"/>
      <c r="O166" s="112"/>
      <c r="P166" s="112"/>
      <c r="Q166" s="113"/>
    </row>
    <row r="167" spans="1:17" s="67" customFormat="1" ht="25.5" customHeight="1">
      <c r="A167" s="544" t="s">
        <v>565</v>
      </c>
      <c r="B167" s="545"/>
      <c r="C167" s="545"/>
      <c r="D167" s="545"/>
      <c r="E167" s="546"/>
      <c r="F167" s="64"/>
      <c r="G167" s="65"/>
      <c r="H167" s="64"/>
      <c r="I167" s="64"/>
      <c r="J167" s="64"/>
      <c r="K167" s="64"/>
      <c r="L167" s="65"/>
      <c r="M167" s="65"/>
      <c r="N167" s="66"/>
      <c r="O167" s="116"/>
      <c r="P167" s="116"/>
    </row>
    <row r="168" spans="1:17" s="114" customFormat="1" ht="126">
      <c r="A168" s="153">
        <v>1</v>
      </c>
      <c r="B168" s="336" t="s">
        <v>42</v>
      </c>
      <c r="C168" s="153" t="s">
        <v>533</v>
      </c>
      <c r="D168" s="156" t="s">
        <v>531</v>
      </c>
      <c r="E168" s="157" t="s">
        <v>534</v>
      </c>
      <c r="F168" s="153">
        <v>21000</v>
      </c>
      <c r="G168" s="157" t="s">
        <v>532</v>
      </c>
      <c r="H168" s="158">
        <f t="shared" ref="H168" si="12">F168</f>
        <v>21000</v>
      </c>
      <c r="I168" s="158" t="s">
        <v>34</v>
      </c>
      <c r="J168" s="243">
        <v>44651</v>
      </c>
      <c r="K168" s="338" t="s">
        <v>61</v>
      </c>
      <c r="L168" s="158"/>
      <c r="M168" s="158"/>
      <c r="N168" s="337"/>
      <c r="O168" s="112"/>
      <c r="P168" s="112"/>
      <c r="Q168" s="113"/>
    </row>
    <row r="169" spans="1:17" s="114" customFormat="1" ht="84">
      <c r="A169" s="153">
        <v>2</v>
      </c>
      <c r="B169" s="336" t="s">
        <v>42</v>
      </c>
      <c r="C169" s="153" t="s">
        <v>545</v>
      </c>
      <c r="D169" s="156" t="s">
        <v>544</v>
      </c>
      <c r="E169" s="157" t="s">
        <v>546</v>
      </c>
      <c r="F169" s="153">
        <v>48000</v>
      </c>
      <c r="G169" s="157" t="s">
        <v>556</v>
      </c>
      <c r="H169" s="158">
        <f t="shared" ref="H169" si="13">F169</f>
        <v>48000</v>
      </c>
      <c r="I169" s="158" t="s">
        <v>34</v>
      </c>
      <c r="J169" s="243">
        <v>44742</v>
      </c>
      <c r="K169" s="158" t="s">
        <v>26</v>
      </c>
      <c r="L169" s="158"/>
      <c r="M169" s="158"/>
      <c r="N169" s="337"/>
      <c r="O169" s="295"/>
      <c r="P169" s="112"/>
      <c r="Q169" s="113"/>
    </row>
    <row r="170" spans="1:17" s="114" customFormat="1" ht="84">
      <c r="A170" s="153">
        <v>3</v>
      </c>
      <c r="B170" s="336" t="s">
        <v>42</v>
      </c>
      <c r="C170" s="153" t="s">
        <v>545</v>
      </c>
      <c r="D170" s="156" t="s">
        <v>559</v>
      </c>
      <c r="E170" s="157" t="s">
        <v>560</v>
      </c>
      <c r="F170" s="153">
        <v>48000</v>
      </c>
      <c r="G170" s="157" t="s">
        <v>561</v>
      </c>
      <c r="H170" s="158">
        <f t="shared" ref="H170" si="14">F170</f>
        <v>48000</v>
      </c>
      <c r="I170" s="158" t="s">
        <v>34</v>
      </c>
      <c r="J170" s="243">
        <v>44742</v>
      </c>
      <c r="K170" s="158" t="s">
        <v>26</v>
      </c>
      <c r="L170" s="158"/>
      <c r="M170" s="158"/>
      <c r="N170" s="337"/>
      <c r="O170" s="295"/>
      <c r="P170" s="112"/>
      <c r="Q170" s="113"/>
    </row>
    <row r="171" spans="1:17" s="114" customFormat="1" ht="84">
      <c r="A171" s="153">
        <v>4</v>
      </c>
      <c r="B171" s="336" t="s">
        <v>42</v>
      </c>
      <c r="C171" s="153" t="s">
        <v>545</v>
      </c>
      <c r="D171" s="156" t="s">
        <v>543</v>
      </c>
      <c r="E171" s="157" t="s">
        <v>563</v>
      </c>
      <c r="F171" s="153">
        <v>48000</v>
      </c>
      <c r="G171" s="157" t="s">
        <v>562</v>
      </c>
      <c r="H171" s="158">
        <f t="shared" ref="H171" si="15">F171</f>
        <v>48000</v>
      </c>
      <c r="I171" s="158" t="s">
        <v>34</v>
      </c>
      <c r="J171" s="243">
        <v>44742</v>
      </c>
      <c r="K171" s="158" t="s">
        <v>26</v>
      </c>
      <c r="L171" s="158"/>
      <c r="M171" s="158"/>
      <c r="N171" s="337"/>
      <c r="O171" s="295"/>
      <c r="P171" s="112"/>
      <c r="Q171" s="113"/>
    </row>
    <row r="172" spans="1:17" s="114" customFormat="1" ht="84">
      <c r="A172" s="153">
        <v>5</v>
      </c>
      <c r="B172" s="336" t="s">
        <v>42</v>
      </c>
      <c r="C172" s="153" t="s">
        <v>586</v>
      </c>
      <c r="D172" s="156" t="s">
        <v>564</v>
      </c>
      <c r="E172" s="157" t="s">
        <v>650</v>
      </c>
      <c r="F172" s="153">
        <f>7800+9000+3000</f>
        <v>19800</v>
      </c>
      <c r="G172" s="157" t="s">
        <v>587</v>
      </c>
      <c r="H172" s="158">
        <f t="shared" ref="H172:H182" si="16">F172</f>
        <v>19800</v>
      </c>
      <c r="I172" s="158" t="s">
        <v>34</v>
      </c>
      <c r="J172" s="243">
        <v>44651</v>
      </c>
      <c r="K172" s="338" t="s">
        <v>61</v>
      </c>
      <c r="L172" s="158"/>
      <c r="M172" s="158"/>
      <c r="N172" s="337"/>
      <c r="O172" s="295"/>
      <c r="P172" s="112"/>
      <c r="Q172" s="113"/>
    </row>
    <row r="173" spans="1:17" s="114" customFormat="1">
      <c r="A173" s="168"/>
      <c r="B173" s="359"/>
      <c r="C173" s="168"/>
      <c r="D173" s="166"/>
      <c r="E173" s="292"/>
      <c r="F173" s="168"/>
      <c r="G173" s="292"/>
      <c r="H173" s="171"/>
      <c r="I173" s="171"/>
      <c r="J173" s="167"/>
      <c r="K173" s="173"/>
      <c r="L173" s="171"/>
      <c r="M173" s="171"/>
      <c r="N173" s="360"/>
      <c r="O173" s="295"/>
      <c r="P173" s="112"/>
      <c r="Q173" s="113"/>
    </row>
    <row r="174" spans="1:17" s="114" customFormat="1">
      <c r="A174" s="118"/>
      <c r="B174" s="263"/>
      <c r="C174" s="118"/>
      <c r="D174" s="151"/>
      <c r="E174" s="120"/>
      <c r="F174" s="118"/>
      <c r="G174" s="120"/>
      <c r="H174" s="126"/>
      <c r="I174" s="126"/>
      <c r="J174" s="174"/>
      <c r="K174" s="177"/>
      <c r="L174" s="126"/>
      <c r="M174" s="126"/>
      <c r="N174" s="264"/>
      <c r="O174" s="295"/>
      <c r="P174" s="112"/>
      <c r="Q174" s="113"/>
    </row>
    <row r="175" spans="1:17" s="67" customFormat="1" ht="25.5" customHeight="1">
      <c r="A175" s="541" t="s">
        <v>919</v>
      </c>
      <c r="B175" s="542"/>
      <c r="C175" s="542"/>
      <c r="D175" s="542"/>
      <c r="E175" s="543"/>
      <c r="F175" s="357"/>
      <c r="G175" s="358"/>
      <c r="H175" s="357"/>
      <c r="I175" s="357"/>
      <c r="J175" s="357"/>
      <c r="K175" s="357"/>
      <c r="L175" s="358"/>
      <c r="M175" s="358"/>
      <c r="N175" s="66"/>
      <c r="O175" s="116"/>
      <c r="P175" s="116"/>
    </row>
    <row r="176" spans="1:17" s="114" customFormat="1" ht="84">
      <c r="A176" s="105">
        <v>1</v>
      </c>
      <c r="B176" s="106" t="s">
        <v>42</v>
      </c>
      <c r="C176" s="110">
        <v>44652</v>
      </c>
      <c r="D176" s="107" t="s">
        <v>658</v>
      </c>
      <c r="E176" s="108" t="s">
        <v>659</v>
      </c>
      <c r="F176" s="105">
        <f>9000*6</f>
        <v>54000</v>
      </c>
      <c r="G176" s="108" t="s">
        <v>188</v>
      </c>
      <c r="H176" s="109">
        <f t="shared" si="16"/>
        <v>54000</v>
      </c>
      <c r="I176" s="109" t="s">
        <v>34</v>
      </c>
      <c r="J176" s="110">
        <v>44834</v>
      </c>
      <c r="K176" s="109" t="s">
        <v>37</v>
      </c>
      <c r="L176" s="109"/>
      <c r="M176" s="109"/>
      <c r="N176" s="111"/>
      <c r="O176" s="112"/>
      <c r="P176" s="112"/>
      <c r="Q176" s="113"/>
    </row>
    <row r="177" spans="1:17" s="114" customFormat="1" ht="84">
      <c r="A177" s="105">
        <v>2</v>
      </c>
      <c r="B177" s="106" t="s">
        <v>42</v>
      </c>
      <c r="C177" s="110">
        <v>44652</v>
      </c>
      <c r="D177" s="107" t="s">
        <v>660</v>
      </c>
      <c r="E177" s="108" t="s">
        <v>661</v>
      </c>
      <c r="F177" s="105">
        <v>54000</v>
      </c>
      <c r="G177" s="108" t="s">
        <v>192</v>
      </c>
      <c r="H177" s="109">
        <f>F177</f>
        <v>54000</v>
      </c>
      <c r="I177" s="109" t="s">
        <v>34</v>
      </c>
      <c r="J177" s="110">
        <v>44834</v>
      </c>
      <c r="K177" s="109" t="s">
        <v>37</v>
      </c>
      <c r="L177" s="109"/>
      <c r="M177" s="109"/>
      <c r="N177" s="111"/>
      <c r="O177" s="112"/>
      <c r="P177" s="112"/>
      <c r="Q177" s="113"/>
    </row>
    <row r="178" spans="1:17" s="114" customFormat="1" ht="84">
      <c r="A178" s="105">
        <v>3</v>
      </c>
      <c r="B178" s="106" t="s">
        <v>42</v>
      </c>
      <c r="C178" s="110">
        <v>44652</v>
      </c>
      <c r="D178" s="107" t="s">
        <v>662</v>
      </c>
      <c r="E178" s="108" t="s">
        <v>661</v>
      </c>
      <c r="F178" s="105">
        <v>54000</v>
      </c>
      <c r="G178" s="108" t="s">
        <v>194</v>
      </c>
      <c r="H178" s="109">
        <f>F178</f>
        <v>54000</v>
      </c>
      <c r="I178" s="109" t="s">
        <v>34</v>
      </c>
      <c r="J178" s="110">
        <v>44834</v>
      </c>
      <c r="K178" s="109" t="s">
        <v>37</v>
      </c>
      <c r="L178" s="109"/>
      <c r="M178" s="109"/>
      <c r="N178" s="111"/>
      <c r="O178" s="112"/>
      <c r="P178" s="112"/>
      <c r="Q178" s="113"/>
    </row>
    <row r="179" spans="1:17" s="114" customFormat="1" ht="84">
      <c r="A179" s="105">
        <v>4</v>
      </c>
      <c r="B179" s="106" t="s">
        <v>42</v>
      </c>
      <c r="C179" s="110">
        <v>44652</v>
      </c>
      <c r="D179" s="107" t="s">
        <v>663</v>
      </c>
      <c r="E179" s="108" t="s">
        <v>661</v>
      </c>
      <c r="F179" s="105">
        <v>54000</v>
      </c>
      <c r="G179" s="108" t="s">
        <v>191</v>
      </c>
      <c r="H179" s="109">
        <f>F179</f>
        <v>54000</v>
      </c>
      <c r="I179" s="109" t="s">
        <v>34</v>
      </c>
      <c r="J179" s="110">
        <v>44834</v>
      </c>
      <c r="K179" s="109" t="s">
        <v>37</v>
      </c>
      <c r="L179" s="109"/>
      <c r="M179" s="109"/>
      <c r="N179" s="111"/>
      <c r="O179" s="112"/>
      <c r="P179" s="112"/>
      <c r="Q179" s="113"/>
    </row>
    <row r="180" spans="1:17" s="190" customFormat="1" ht="84">
      <c r="A180" s="182">
        <v>5</v>
      </c>
      <c r="B180" s="183" t="s">
        <v>42</v>
      </c>
      <c r="C180" s="187">
        <v>44652</v>
      </c>
      <c r="D180" s="184" t="s">
        <v>664</v>
      </c>
      <c r="E180" s="185" t="s">
        <v>661</v>
      </c>
      <c r="F180" s="182">
        <v>54000</v>
      </c>
      <c r="G180" s="185" t="s">
        <v>193</v>
      </c>
      <c r="H180" s="186">
        <f>F180</f>
        <v>54000</v>
      </c>
      <c r="I180" s="186" t="s">
        <v>34</v>
      </c>
      <c r="J180" s="187">
        <v>44834</v>
      </c>
      <c r="K180" s="186" t="s">
        <v>37</v>
      </c>
      <c r="L180" s="186"/>
      <c r="M180" s="186"/>
      <c r="N180" s="324" t="s">
        <v>612</v>
      </c>
      <c r="O180" s="188"/>
      <c r="P180" s="188"/>
      <c r="Q180" s="189"/>
    </row>
    <row r="181" spans="1:17" s="114" customFormat="1" ht="84">
      <c r="A181" s="105">
        <v>6</v>
      </c>
      <c r="B181" s="106" t="s">
        <v>42</v>
      </c>
      <c r="C181" s="110">
        <v>44652</v>
      </c>
      <c r="D181" s="107" t="s">
        <v>665</v>
      </c>
      <c r="E181" s="108" t="s">
        <v>666</v>
      </c>
      <c r="F181" s="105">
        <v>54000</v>
      </c>
      <c r="G181" s="108" t="s">
        <v>196</v>
      </c>
      <c r="H181" s="109">
        <f>F181</f>
        <v>54000</v>
      </c>
      <c r="I181" s="109" t="s">
        <v>34</v>
      </c>
      <c r="J181" s="110">
        <v>44834</v>
      </c>
      <c r="K181" s="109" t="s">
        <v>37</v>
      </c>
      <c r="L181" s="109"/>
      <c r="M181" s="109"/>
      <c r="N181" s="111"/>
      <c r="O181" s="112"/>
      <c r="P181" s="112"/>
      <c r="Q181" s="113"/>
    </row>
    <row r="182" spans="1:17" s="114" customFormat="1" ht="84">
      <c r="A182" s="105">
        <v>7</v>
      </c>
      <c r="B182" s="106" t="s">
        <v>42</v>
      </c>
      <c r="C182" s="110">
        <v>44652</v>
      </c>
      <c r="D182" s="107" t="s">
        <v>667</v>
      </c>
      <c r="E182" s="108" t="s">
        <v>659</v>
      </c>
      <c r="F182" s="105">
        <v>54000</v>
      </c>
      <c r="G182" s="108" t="s">
        <v>189</v>
      </c>
      <c r="H182" s="109">
        <f t="shared" si="16"/>
        <v>54000</v>
      </c>
      <c r="I182" s="109" t="s">
        <v>34</v>
      </c>
      <c r="J182" s="110">
        <v>44834</v>
      </c>
      <c r="K182" s="109" t="s">
        <v>37</v>
      </c>
      <c r="L182" s="109"/>
      <c r="M182" s="109"/>
      <c r="N182" s="111"/>
      <c r="O182" s="112"/>
      <c r="P182" s="112"/>
      <c r="Q182" s="113"/>
    </row>
    <row r="183" spans="1:17" s="114" customFormat="1" ht="126">
      <c r="A183" s="105">
        <v>8</v>
      </c>
      <c r="B183" s="106" t="s">
        <v>42</v>
      </c>
      <c r="C183" s="110">
        <v>44652</v>
      </c>
      <c r="D183" s="107" t="s">
        <v>692</v>
      </c>
      <c r="E183" s="108" t="s">
        <v>693</v>
      </c>
      <c r="F183" s="105">
        <v>27000</v>
      </c>
      <c r="G183" s="108" t="s">
        <v>204</v>
      </c>
      <c r="H183" s="109">
        <f>F183</f>
        <v>27000</v>
      </c>
      <c r="I183" s="325" t="s">
        <v>679</v>
      </c>
      <c r="J183" s="110">
        <v>44742</v>
      </c>
      <c r="K183" s="115" t="s">
        <v>38</v>
      </c>
      <c r="L183" s="109"/>
      <c r="M183" s="109"/>
      <c r="N183" s="111"/>
      <c r="O183" s="112"/>
      <c r="P183" s="112"/>
      <c r="Q183" s="113"/>
    </row>
    <row r="184" spans="1:17" s="114" customFormat="1" ht="126">
      <c r="A184" s="105">
        <v>9</v>
      </c>
      <c r="B184" s="106" t="s">
        <v>42</v>
      </c>
      <c r="C184" s="110">
        <v>44652</v>
      </c>
      <c r="D184" s="107" t="s">
        <v>704</v>
      </c>
      <c r="E184" s="108" t="s">
        <v>705</v>
      </c>
      <c r="F184" s="105">
        <v>27000</v>
      </c>
      <c r="G184" s="108" t="s">
        <v>706</v>
      </c>
      <c r="H184" s="109">
        <f t="shared" ref="H184" si="17">F184</f>
        <v>27000</v>
      </c>
      <c r="I184" s="325" t="s">
        <v>679</v>
      </c>
      <c r="J184" s="110">
        <v>44742</v>
      </c>
      <c r="K184" s="115" t="s">
        <v>38</v>
      </c>
      <c r="L184" s="109"/>
      <c r="M184" s="109"/>
      <c r="N184" s="111"/>
      <c r="O184" s="112"/>
      <c r="P184" s="112"/>
      <c r="Q184" s="113"/>
    </row>
    <row r="185" spans="1:17" s="114" customFormat="1" ht="126">
      <c r="A185" s="105">
        <v>10</v>
      </c>
      <c r="B185" s="106" t="s">
        <v>42</v>
      </c>
      <c r="C185" s="110">
        <v>44652</v>
      </c>
      <c r="D185" s="107" t="s">
        <v>707</v>
      </c>
      <c r="E185" s="108" t="s">
        <v>700</v>
      </c>
      <c r="F185" s="105">
        <v>27000</v>
      </c>
      <c r="G185" s="108" t="s">
        <v>698</v>
      </c>
      <c r="H185" s="109">
        <f>F185</f>
        <v>27000</v>
      </c>
      <c r="I185" s="325" t="s">
        <v>679</v>
      </c>
      <c r="J185" s="110">
        <v>44742</v>
      </c>
      <c r="K185" s="115" t="s">
        <v>38</v>
      </c>
      <c r="L185" s="109"/>
      <c r="M185" s="109"/>
      <c r="N185" s="111"/>
      <c r="O185" s="112"/>
      <c r="P185" s="112"/>
      <c r="Q185" s="113"/>
    </row>
    <row r="186" spans="1:17" s="114" customFormat="1" ht="126">
      <c r="A186" s="105">
        <v>11</v>
      </c>
      <c r="B186" s="106" t="s">
        <v>42</v>
      </c>
      <c r="C186" s="110">
        <v>44652</v>
      </c>
      <c r="D186" s="107" t="s">
        <v>703</v>
      </c>
      <c r="E186" s="108" t="s">
        <v>702</v>
      </c>
      <c r="F186" s="105">
        <v>27000</v>
      </c>
      <c r="G186" s="108" t="s">
        <v>211</v>
      </c>
      <c r="H186" s="109">
        <f>F186</f>
        <v>27000</v>
      </c>
      <c r="I186" s="325" t="s">
        <v>679</v>
      </c>
      <c r="J186" s="110">
        <v>44742</v>
      </c>
      <c r="K186" s="115" t="s">
        <v>38</v>
      </c>
      <c r="L186" s="109"/>
      <c r="M186" s="109"/>
      <c r="N186" s="111"/>
      <c r="O186" s="112"/>
      <c r="P186" s="112"/>
      <c r="Q186" s="113"/>
    </row>
    <row r="187" spans="1:17" s="114" customFormat="1" ht="126">
      <c r="A187" s="105">
        <v>12</v>
      </c>
      <c r="B187" s="106" t="s">
        <v>42</v>
      </c>
      <c r="C187" s="110">
        <v>44652</v>
      </c>
      <c r="D187" s="107" t="s">
        <v>690</v>
      </c>
      <c r="E187" s="108" t="s">
        <v>691</v>
      </c>
      <c r="F187" s="105">
        <v>27000</v>
      </c>
      <c r="G187" s="108" t="s">
        <v>206</v>
      </c>
      <c r="H187" s="109">
        <f>F187</f>
        <v>27000</v>
      </c>
      <c r="I187" s="325" t="s">
        <v>679</v>
      </c>
      <c r="J187" s="110">
        <v>44742</v>
      </c>
      <c r="K187" s="115" t="s">
        <v>38</v>
      </c>
      <c r="L187" s="109"/>
      <c r="M187" s="109"/>
      <c r="N187" s="111"/>
      <c r="O187" s="112"/>
      <c r="P187" s="112"/>
      <c r="Q187" s="113"/>
    </row>
    <row r="188" spans="1:17" s="114" customFormat="1" ht="126">
      <c r="A188" s="105">
        <v>13</v>
      </c>
      <c r="B188" s="106" t="s">
        <v>42</v>
      </c>
      <c r="C188" s="110">
        <v>44652</v>
      </c>
      <c r="D188" s="107" t="s">
        <v>684</v>
      </c>
      <c r="E188" s="108" t="s">
        <v>685</v>
      </c>
      <c r="F188" s="105">
        <f>3*9000</f>
        <v>27000</v>
      </c>
      <c r="G188" s="108" t="s">
        <v>686</v>
      </c>
      <c r="H188" s="109">
        <f t="shared" ref="H188:H190" si="18">F188</f>
        <v>27000</v>
      </c>
      <c r="I188" s="325" t="s">
        <v>679</v>
      </c>
      <c r="J188" s="110">
        <v>44742</v>
      </c>
      <c r="K188" s="115" t="s">
        <v>38</v>
      </c>
      <c r="L188" s="109"/>
      <c r="M188" s="109"/>
      <c r="N188" s="317"/>
      <c r="O188" s="112"/>
      <c r="P188" s="112"/>
      <c r="Q188" s="113"/>
    </row>
    <row r="189" spans="1:17" s="114" customFormat="1" ht="126">
      <c r="A189" s="105">
        <v>14</v>
      </c>
      <c r="B189" s="336" t="s">
        <v>42</v>
      </c>
      <c r="C189" s="110">
        <v>44652</v>
      </c>
      <c r="D189" s="107" t="s">
        <v>697</v>
      </c>
      <c r="E189" s="157" t="s">
        <v>701</v>
      </c>
      <c r="F189" s="105">
        <v>27000</v>
      </c>
      <c r="G189" s="157" t="s">
        <v>699</v>
      </c>
      <c r="H189" s="158">
        <f>F189</f>
        <v>27000</v>
      </c>
      <c r="I189" s="325" t="s">
        <v>679</v>
      </c>
      <c r="J189" s="110">
        <v>44742</v>
      </c>
      <c r="K189" s="338" t="s">
        <v>38</v>
      </c>
      <c r="L189" s="158"/>
      <c r="M189" s="158"/>
      <c r="N189" s="337"/>
      <c r="O189" s="112"/>
      <c r="P189" s="112"/>
      <c r="Q189" s="113" t="s">
        <v>349</v>
      </c>
    </row>
    <row r="190" spans="1:17" s="114" customFormat="1" ht="126">
      <c r="A190" s="105">
        <v>15</v>
      </c>
      <c r="B190" s="106" t="s">
        <v>42</v>
      </c>
      <c r="C190" s="110">
        <v>44652</v>
      </c>
      <c r="D190" s="107" t="s">
        <v>688</v>
      </c>
      <c r="E190" s="108" t="s">
        <v>689</v>
      </c>
      <c r="F190" s="105">
        <v>27000</v>
      </c>
      <c r="G190" s="108" t="s">
        <v>209</v>
      </c>
      <c r="H190" s="109">
        <f t="shared" si="18"/>
        <v>27000</v>
      </c>
      <c r="I190" s="325" t="s">
        <v>679</v>
      </c>
      <c r="J190" s="110">
        <v>44742</v>
      </c>
      <c r="K190" s="115" t="s">
        <v>38</v>
      </c>
      <c r="L190" s="109"/>
      <c r="M190" s="109"/>
      <c r="N190" s="111"/>
      <c r="O190" s="112"/>
      <c r="P190" s="112"/>
      <c r="Q190" s="113"/>
    </row>
    <row r="191" spans="1:17" s="114" customFormat="1" ht="126">
      <c r="A191" s="105">
        <v>16</v>
      </c>
      <c r="B191" s="106" t="s">
        <v>42</v>
      </c>
      <c r="C191" s="110">
        <v>44652</v>
      </c>
      <c r="D191" s="107" t="s">
        <v>694</v>
      </c>
      <c r="E191" s="108" t="s">
        <v>696</v>
      </c>
      <c r="F191" s="105">
        <v>27000</v>
      </c>
      <c r="G191" s="108" t="s">
        <v>695</v>
      </c>
      <c r="H191" s="109">
        <f t="shared" ref="H191" si="19">F191</f>
        <v>27000</v>
      </c>
      <c r="I191" s="325" t="s">
        <v>679</v>
      </c>
      <c r="J191" s="110">
        <v>44742</v>
      </c>
      <c r="K191" s="115" t="s">
        <v>38</v>
      </c>
      <c r="L191" s="109"/>
      <c r="M191" s="109"/>
      <c r="N191" s="111"/>
      <c r="O191" s="112"/>
      <c r="P191" s="112"/>
      <c r="Q191" s="113"/>
    </row>
    <row r="192" spans="1:17" s="114" customFormat="1" ht="105">
      <c r="A192" s="105">
        <v>17</v>
      </c>
      <c r="B192" s="106" t="s">
        <v>42</v>
      </c>
      <c r="C192" s="110">
        <v>44652</v>
      </c>
      <c r="D192" s="107" t="s">
        <v>722</v>
      </c>
      <c r="E192" s="108" t="s">
        <v>723</v>
      </c>
      <c r="F192" s="105">
        <v>27000</v>
      </c>
      <c r="G192" s="108" t="s">
        <v>413</v>
      </c>
      <c r="H192" s="109">
        <v>27000</v>
      </c>
      <c r="I192" s="122" t="s">
        <v>679</v>
      </c>
      <c r="J192" s="110">
        <v>44742</v>
      </c>
      <c r="K192" s="122" t="s">
        <v>61</v>
      </c>
      <c r="L192" s="109"/>
      <c r="M192" s="109"/>
      <c r="N192" s="317"/>
      <c r="O192" s="112"/>
      <c r="P192" s="112"/>
      <c r="Q192" s="113"/>
    </row>
    <row r="193" spans="1:17" s="114" customFormat="1" ht="93.75">
      <c r="A193" s="105">
        <v>18</v>
      </c>
      <c r="B193" s="106" t="s">
        <v>42</v>
      </c>
      <c r="C193" s="110">
        <v>44652</v>
      </c>
      <c r="D193" s="107" t="s">
        <v>678</v>
      </c>
      <c r="E193" s="108" t="s">
        <v>669</v>
      </c>
      <c r="F193" s="105">
        <v>27000</v>
      </c>
      <c r="G193" s="108" t="s">
        <v>439</v>
      </c>
      <c r="H193" s="109">
        <v>27000</v>
      </c>
      <c r="I193" s="122" t="s">
        <v>679</v>
      </c>
      <c r="J193" s="110">
        <v>44742</v>
      </c>
      <c r="K193" s="122" t="s">
        <v>61</v>
      </c>
      <c r="L193" s="109"/>
      <c r="M193" s="109"/>
      <c r="N193" s="111"/>
      <c r="O193" s="112"/>
      <c r="P193" s="112"/>
      <c r="Q193" s="113"/>
    </row>
    <row r="194" spans="1:17" s="114" customFormat="1" ht="93.75">
      <c r="A194" s="105">
        <v>19</v>
      </c>
      <c r="B194" s="106" t="s">
        <v>42</v>
      </c>
      <c r="C194" s="110">
        <v>44652</v>
      </c>
      <c r="D194" s="107" t="s">
        <v>676</v>
      </c>
      <c r="E194" s="108" t="s">
        <v>669</v>
      </c>
      <c r="F194" s="105">
        <v>27000</v>
      </c>
      <c r="G194" s="108" t="s">
        <v>512</v>
      </c>
      <c r="H194" s="109">
        <v>27000</v>
      </c>
      <c r="I194" s="122" t="s">
        <v>679</v>
      </c>
      <c r="J194" s="110">
        <v>44742</v>
      </c>
      <c r="K194" s="122" t="s">
        <v>61</v>
      </c>
      <c r="L194" s="109"/>
      <c r="M194" s="109"/>
      <c r="N194" s="111"/>
      <c r="O194" s="112"/>
      <c r="P194" s="112"/>
      <c r="Q194" s="113"/>
    </row>
    <row r="195" spans="1:17" s="190" customFormat="1" ht="93.75">
      <c r="A195" s="182">
        <v>20</v>
      </c>
      <c r="B195" s="183" t="s">
        <v>42</v>
      </c>
      <c r="C195" s="187">
        <v>44652</v>
      </c>
      <c r="D195" s="184" t="s">
        <v>668</v>
      </c>
      <c r="E195" s="185" t="s">
        <v>669</v>
      </c>
      <c r="F195" s="182">
        <f>3*9000</f>
        <v>27000</v>
      </c>
      <c r="G195" s="185" t="s">
        <v>874</v>
      </c>
      <c r="H195" s="186">
        <f>F195</f>
        <v>27000</v>
      </c>
      <c r="I195" s="181" t="s">
        <v>679</v>
      </c>
      <c r="J195" s="187">
        <v>44742</v>
      </c>
      <c r="K195" s="181" t="s">
        <v>61</v>
      </c>
      <c r="L195" s="186"/>
      <c r="M195" s="186"/>
      <c r="N195" s="397" t="s">
        <v>875</v>
      </c>
      <c r="O195" s="188"/>
      <c r="P195" s="188"/>
      <c r="Q195" s="189"/>
    </row>
    <row r="196" spans="1:17" s="114" customFormat="1" ht="93.75">
      <c r="A196" s="105">
        <v>21</v>
      </c>
      <c r="B196" s="106" t="s">
        <v>42</v>
      </c>
      <c r="C196" s="110">
        <v>44652</v>
      </c>
      <c r="D196" s="107" t="s">
        <v>670</v>
      </c>
      <c r="E196" s="108" t="s">
        <v>675</v>
      </c>
      <c r="F196" s="105">
        <v>27000</v>
      </c>
      <c r="G196" s="108" t="s">
        <v>407</v>
      </c>
      <c r="H196" s="109">
        <v>27000</v>
      </c>
      <c r="I196" s="122" t="s">
        <v>679</v>
      </c>
      <c r="J196" s="110">
        <v>44742</v>
      </c>
      <c r="K196" s="122" t="s">
        <v>61</v>
      </c>
      <c r="L196" s="109"/>
      <c r="M196" s="109"/>
      <c r="N196" s="317"/>
      <c r="O196" s="112"/>
      <c r="P196" s="112"/>
      <c r="Q196" s="113"/>
    </row>
    <row r="197" spans="1:17" s="114" customFormat="1" ht="93.75">
      <c r="A197" s="105">
        <v>22</v>
      </c>
      <c r="B197" s="336" t="s">
        <v>42</v>
      </c>
      <c r="C197" s="110">
        <v>44652</v>
      </c>
      <c r="D197" s="107" t="s">
        <v>677</v>
      </c>
      <c r="E197" s="157" t="s">
        <v>855</v>
      </c>
      <c r="F197" s="105">
        <v>27000</v>
      </c>
      <c r="G197" s="157" t="s">
        <v>587</v>
      </c>
      <c r="H197" s="158">
        <f t="shared" ref="H197" si="20">F197</f>
        <v>27000</v>
      </c>
      <c r="I197" s="122" t="s">
        <v>679</v>
      </c>
      <c r="J197" s="110">
        <v>44742</v>
      </c>
      <c r="K197" s="338" t="s">
        <v>61</v>
      </c>
      <c r="L197" s="158"/>
      <c r="M197" s="158"/>
      <c r="N197" s="337"/>
      <c r="O197" s="112"/>
      <c r="P197" s="112"/>
      <c r="Q197" s="113"/>
    </row>
    <row r="198" spans="1:17" s="114" customFormat="1" ht="93.75">
      <c r="A198" s="105">
        <v>23</v>
      </c>
      <c r="B198" s="106" t="s">
        <v>42</v>
      </c>
      <c r="C198" s="110">
        <v>44652</v>
      </c>
      <c r="D198" s="107" t="s">
        <v>671</v>
      </c>
      <c r="E198" s="108" t="s">
        <v>669</v>
      </c>
      <c r="F198" s="105">
        <v>27000</v>
      </c>
      <c r="G198" s="108" t="s">
        <v>429</v>
      </c>
      <c r="H198" s="109">
        <v>27000</v>
      </c>
      <c r="I198" s="122" t="s">
        <v>679</v>
      </c>
      <c r="J198" s="110">
        <v>44742</v>
      </c>
      <c r="K198" s="122" t="s">
        <v>61</v>
      </c>
      <c r="L198" s="109"/>
      <c r="M198" s="109"/>
      <c r="N198" s="317"/>
      <c r="O198" s="112"/>
      <c r="P198" s="112"/>
      <c r="Q198" s="113"/>
    </row>
    <row r="199" spans="1:17" s="114" customFormat="1" ht="93.75">
      <c r="A199" s="105">
        <v>24</v>
      </c>
      <c r="B199" s="106" t="s">
        <v>42</v>
      </c>
      <c r="C199" s="110">
        <v>44652</v>
      </c>
      <c r="D199" s="107" t="s">
        <v>672</v>
      </c>
      <c r="E199" s="108" t="s">
        <v>673</v>
      </c>
      <c r="F199" s="105">
        <v>27000</v>
      </c>
      <c r="G199" s="108" t="s">
        <v>485</v>
      </c>
      <c r="H199" s="109">
        <v>27000</v>
      </c>
      <c r="I199" s="122" t="s">
        <v>679</v>
      </c>
      <c r="J199" s="110">
        <v>44742</v>
      </c>
      <c r="K199" s="122" t="s">
        <v>61</v>
      </c>
      <c r="L199" s="109"/>
      <c r="M199" s="109"/>
      <c r="N199" s="111"/>
      <c r="O199" s="112"/>
      <c r="P199" s="112"/>
      <c r="Q199" s="113"/>
    </row>
    <row r="200" spans="1:17" s="114" customFormat="1" ht="93.75">
      <c r="A200" s="105">
        <v>25</v>
      </c>
      <c r="B200" s="106" t="s">
        <v>42</v>
      </c>
      <c r="C200" s="110">
        <v>44652</v>
      </c>
      <c r="D200" s="107" t="s">
        <v>674</v>
      </c>
      <c r="E200" s="108" t="s">
        <v>669</v>
      </c>
      <c r="F200" s="105">
        <v>27000</v>
      </c>
      <c r="G200" s="108" t="s">
        <v>431</v>
      </c>
      <c r="H200" s="109">
        <v>27000</v>
      </c>
      <c r="I200" s="122" t="s">
        <v>679</v>
      </c>
      <c r="J200" s="110">
        <v>44742</v>
      </c>
      <c r="K200" s="122" t="s">
        <v>61</v>
      </c>
      <c r="L200" s="109"/>
      <c r="M200" s="109"/>
      <c r="N200" s="111"/>
      <c r="O200" s="112"/>
      <c r="P200" s="112"/>
      <c r="Q200" s="113"/>
    </row>
    <row r="201" spans="1:17" s="114" customFormat="1" ht="93.75">
      <c r="A201" s="105">
        <v>26</v>
      </c>
      <c r="B201" s="106" t="s">
        <v>42</v>
      </c>
      <c r="C201" s="110">
        <v>44652</v>
      </c>
      <c r="D201" s="107" t="s">
        <v>716</v>
      </c>
      <c r="E201" s="108" t="s">
        <v>717</v>
      </c>
      <c r="F201" s="105">
        <v>27000</v>
      </c>
      <c r="G201" s="108" t="s">
        <v>418</v>
      </c>
      <c r="H201" s="109">
        <v>27000</v>
      </c>
      <c r="I201" s="122" t="s">
        <v>679</v>
      </c>
      <c r="J201" s="110">
        <v>44742</v>
      </c>
      <c r="K201" s="122" t="s">
        <v>61</v>
      </c>
      <c r="L201" s="109"/>
      <c r="M201" s="109"/>
      <c r="N201" s="317"/>
      <c r="O201" s="112"/>
      <c r="P201" s="112"/>
      <c r="Q201" s="113"/>
    </row>
    <row r="202" spans="1:17" s="114" customFormat="1" ht="93.75">
      <c r="A202" s="105">
        <v>27</v>
      </c>
      <c r="B202" s="106" t="s">
        <v>42</v>
      </c>
      <c r="C202" s="110">
        <v>44652</v>
      </c>
      <c r="D202" s="107" t="s">
        <v>718</v>
      </c>
      <c r="E202" s="108" t="s">
        <v>717</v>
      </c>
      <c r="F202" s="105">
        <v>27000</v>
      </c>
      <c r="G202" s="108" t="s">
        <v>415</v>
      </c>
      <c r="H202" s="109">
        <v>27000</v>
      </c>
      <c r="I202" s="122" t="s">
        <v>679</v>
      </c>
      <c r="J202" s="110">
        <v>44742</v>
      </c>
      <c r="K202" s="122" t="s">
        <v>61</v>
      </c>
      <c r="L202" s="109"/>
      <c r="M202" s="109"/>
      <c r="N202" s="317"/>
      <c r="O202" s="112"/>
      <c r="P202" s="112"/>
      <c r="Q202" s="113"/>
    </row>
    <row r="203" spans="1:17" s="114" customFormat="1" ht="105">
      <c r="A203" s="105">
        <v>28</v>
      </c>
      <c r="B203" s="106" t="s">
        <v>42</v>
      </c>
      <c r="C203" s="110">
        <v>44652</v>
      </c>
      <c r="D203" s="107" t="s">
        <v>719</v>
      </c>
      <c r="E203" s="108" t="s">
        <v>720</v>
      </c>
      <c r="F203" s="105">
        <v>27000</v>
      </c>
      <c r="G203" s="108" t="s">
        <v>721</v>
      </c>
      <c r="H203" s="109">
        <v>27000</v>
      </c>
      <c r="I203" s="122" t="s">
        <v>679</v>
      </c>
      <c r="J203" s="110">
        <v>44742</v>
      </c>
      <c r="K203" s="122" t="s">
        <v>61</v>
      </c>
      <c r="L203" s="109"/>
      <c r="M203" s="109"/>
      <c r="N203" s="317"/>
      <c r="O203" s="112"/>
      <c r="P203" s="112"/>
      <c r="Q203" s="113"/>
    </row>
    <row r="204" spans="1:17" s="114" customFormat="1" ht="105">
      <c r="A204" s="105">
        <v>29</v>
      </c>
      <c r="B204" s="106" t="s">
        <v>42</v>
      </c>
      <c r="C204" s="110">
        <v>44652</v>
      </c>
      <c r="D204" s="107" t="s">
        <v>709</v>
      </c>
      <c r="E204" s="108" t="s">
        <v>708</v>
      </c>
      <c r="F204" s="105">
        <f>3*9000</f>
        <v>27000</v>
      </c>
      <c r="G204" s="108" t="s">
        <v>254</v>
      </c>
      <c r="H204" s="109">
        <f t="shared" ref="H204:H216" si="21">F204</f>
        <v>27000</v>
      </c>
      <c r="I204" s="122" t="s">
        <v>679</v>
      </c>
      <c r="J204" s="110">
        <v>44742</v>
      </c>
      <c r="K204" s="122" t="s">
        <v>61</v>
      </c>
      <c r="L204" s="109"/>
      <c r="M204" s="109"/>
      <c r="N204" s="317"/>
      <c r="O204" s="112"/>
      <c r="P204" s="112"/>
      <c r="Q204" s="113"/>
    </row>
    <row r="205" spans="1:17" s="114" customFormat="1" ht="105">
      <c r="A205" s="105">
        <v>30</v>
      </c>
      <c r="B205" s="106" t="s">
        <v>42</v>
      </c>
      <c r="C205" s="110">
        <v>44652</v>
      </c>
      <c r="D205" s="107" t="s">
        <v>710</v>
      </c>
      <c r="E205" s="108" t="s">
        <v>711</v>
      </c>
      <c r="F205" s="105">
        <f>3*9000</f>
        <v>27000</v>
      </c>
      <c r="G205" s="108" t="s">
        <v>394</v>
      </c>
      <c r="H205" s="109">
        <f t="shared" si="21"/>
        <v>27000</v>
      </c>
      <c r="I205" s="122" t="s">
        <v>679</v>
      </c>
      <c r="J205" s="110">
        <v>44742</v>
      </c>
      <c r="K205" s="122" t="s">
        <v>61</v>
      </c>
      <c r="L205" s="109"/>
      <c r="M205" s="109"/>
      <c r="N205" s="317"/>
      <c r="O205" s="112"/>
      <c r="P205" s="112"/>
      <c r="Q205" s="113"/>
    </row>
    <row r="206" spans="1:17" s="114" customFormat="1" ht="105">
      <c r="A206" s="105">
        <v>31</v>
      </c>
      <c r="B206" s="336" t="s">
        <v>42</v>
      </c>
      <c r="C206" s="110">
        <v>44652</v>
      </c>
      <c r="D206" s="107" t="s">
        <v>712</v>
      </c>
      <c r="E206" s="157" t="s">
        <v>708</v>
      </c>
      <c r="F206" s="105">
        <f>3*9000</f>
        <v>27000</v>
      </c>
      <c r="G206" s="157" t="s">
        <v>532</v>
      </c>
      <c r="H206" s="109">
        <f t="shared" si="21"/>
        <v>27000</v>
      </c>
      <c r="I206" s="122" t="s">
        <v>679</v>
      </c>
      <c r="J206" s="110">
        <v>44742</v>
      </c>
      <c r="K206" s="338" t="s">
        <v>61</v>
      </c>
      <c r="L206" s="158"/>
      <c r="M206" s="158"/>
      <c r="N206" s="337"/>
      <c r="O206" s="112"/>
      <c r="P206" s="112"/>
      <c r="Q206" s="113"/>
    </row>
    <row r="207" spans="1:17" s="114" customFormat="1" ht="105">
      <c r="A207" s="105">
        <v>32</v>
      </c>
      <c r="B207" s="106" t="s">
        <v>42</v>
      </c>
      <c r="C207" s="110">
        <v>44652</v>
      </c>
      <c r="D207" s="107" t="s">
        <v>713</v>
      </c>
      <c r="E207" s="108" t="s">
        <v>715</v>
      </c>
      <c r="F207" s="105">
        <f>3*9000</f>
        <v>27000</v>
      </c>
      <c r="G207" s="108" t="s">
        <v>396</v>
      </c>
      <c r="H207" s="109">
        <f t="shared" si="21"/>
        <v>27000</v>
      </c>
      <c r="I207" s="122" t="s">
        <v>679</v>
      </c>
      <c r="J207" s="110">
        <v>44742</v>
      </c>
      <c r="K207" s="122" t="s">
        <v>61</v>
      </c>
      <c r="L207" s="109"/>
      <c r="M207" s="109"/>
      <c r="N207" s="317"/>
      <c r="O207" s="112"/>
      <c r="P207" s="112"/>
      <c r="Q207" s="113"/>
    </row>
    <row r="208" spans="1:17" s="114" customFormat="1" ht="105">
      <c r="A208" s="105">
        <v>33</v>
      </c>
      <c r="B208" s="106" t="s">
        <v>42</v>
      </c>
      <c r="C208" s="110">
        <v>44652</v>
      </c>
      <c r="D208" s="107" t="s">
        <v>714</v>
      </c>
      <c r="E208" s="108" t="s">
        <v>715</v>
      </c>
      <c r="F208" s="105">
        <f>3*9000</f>
        <v>27000</v>
      </c>
      <c r="G208" s="108" t="s">
        <v>399</v>
      </c>
      <c r="H208" s="109">
        <f t="shared" si="21"/>
        <v>27000</v>
      </c>
      <c r="I208" s="122" t="s">
        <v>679</v>
      </c>
      <c r="J208" s="110">
        <v>44742</v>
      </c>
      <c r="K208" s="122" t="s">
        <v>61</v>
      </c>
      <c r="L208" s="109"/>
      <c r="M208" s="109"/>
      <c r="N208" s="317"/>
      <c r="O208" s="112"/>
      <c r="P208" s="112"/>
      <c r="Q208" s="113"/>
    </row>
    <row r="209" spans="1:17" s="114" customFormat="1" ht="93.75">
      <c r="A209" s="105">
        <v>34</v>
      </c>
      <c r="B209" s="106" t="s">
        <v>42</v>
      </c>
      <c r="C209" s="110">
        <v>44652</v>
      </c>
      <c r="D209" s="107" t="s">
        <v>724</v>
      </c>
      <c r="E209" s="108" t="s">
        <v>725</v>
      </c>
      <c r="F209" s="105">
        <f t="shared" ref="F209:F216" si="22">315*91</f>
        <v>28665</v>
      </c>
      <c r="G209" s="108" t="s">
        <v>261</v>
      </c>
      <c r="H209" s="109">
        <f t="shared" si="21"/>
        <v>28665</v>
      </c>
      <c r="I209" s="122" t="s">
        <v>679</v>
      </c>
      <c r="J209" s="110">
        <v>44742</v>
      </c>
      <c r="K209" s="122" t="s">
        <v>61</v>
      </c>
      <c r="L209" s="110"/>
      <c r="M209" s="110"/>
      <c r="N209" s="317"/>
      <c r="O209" s="112"/>
      <c r="P209" s="112"/>
      <c r="Q209" s="113"/>
    </row>
    <row r="210" spans="1:17" s="114" customFormat="1" ht="93.75">
      <c r="A210" s="105">
        <v>35</v>
      </c>
      <c r="B210" s="106" t="s">
        <v>42</v>
      </c>
      <c r="C210" s="110">
        <v>44652</v>
      </c>
      <c r="D210" s="107" t="s">
        <v>728</v>
      </c>
      <c r="E210" s="108" t="s">
        <v>727</v>
      </c>
      <c r="F210" s="105">
        <f t="shared" si="22"/>
        <v>28665</v>
      </c>
      <c r="G210" s="108" t="s">
        <v>262</v>
      </c>
      <c r="H210" s="109">
        <f t="shared" si="21"/>
        <v>28665</v>
      </c>
      <c r="I210" s="122" t="s">
        <v>679</v>
      </c>
      <c r="J210" s="110">
        <v>44742</v>
      </c>
      <c r="K210" s="122" t="s">
        <v>61</v>
      </c>
      <c r="L210" s="110"/>
      <c r="M210" s="110"/>
      <c r="N210" s="317"/>
      <c r="O210" s="112"/>
      <c r="P210" s="112"/>
      <c r="Q210" s="113"/>
    </row>
    <row r="211" spans="1:17" s="114" customFormat="1" ht="93.75">
      <c r="A211" s="105">
        <v>36</v>
      </c>
      <c r="B211" s="106" t="s">
        <v>42</v>
      </c>
      <c r="C211" s="110">
        <v>44652</v>
      </c>
      <c r="D211" s="107" t="s">
        <v>680</v>
      </c>
      <c r="E211" s="108" t="s">
        <v>726</v>
      </c>
      <c r="F211" s="105">
        <f t="shared" si="22"/>
        <v>28665</v>
      </c>
      <c r="G211" s="108" t="s">
        <v>388</v>
      </c>
      <c r="H211" s="109">
        <f t="shared" si="21"/>
        <v>28665</v>
      </c>
      <c r="I211" s="122" t="s">
        <v>679</v>
      </c>
      <c r="J211" s="110">
        <v>44742</v>
      </c>
      <c r="K211" s="122" t="s">
        <v>61</v>
      </c>
      <c r="L211" s="110"/>
      <c r="M211" s="110"/>
      <c r="N211" s="317"/>
      <c r="O211" s="112"/>
      <c r="P211" s="112"/>
      <c r="Q211" s="113"/>
    </row>
    <row r="212" spans="1:17" s="114" customFormat="1" ht="93.75">
      <c r="A212" s="105">
        <v>37</v>
      </c>
      <c r="B212" s="106" t="s">
        <v>42</v>
      </c>
      <c r="C212" s="110">
        <v>44652</v>
      </c>
      <c r="D212" s="107" t="s">
        <v>681</v>
      </c>
      <c r="E212" s="108" t="s">
        <v>725</v>
      </c>
      <c r="F212" s="105">
        <f t="shared" si="22"/>
        <v>28665</v>
      </c>
      <c r="G212" s="108" t="s">
        <v>389</v>
      </c>
      <c r="H212" s="109">
        <f t="shared" si="21"/>
        <v>28665</v>
      </c>
      <c r="I212" s="122" t="s">
        <v>679</v>
      </c>
      <c r="J212" s="110">
        <v>44742</v>
      </c>
      <c r="K212" s="122" t="s">
        <v>61</v>
      </c>
      <c r="L212" s="109"/>
      <c r="M212" s="109"/>
      <c r="N212" s="317"/>
      <c r="O212" s="112"/>
      <c r="P212" s="112"/>
      <c r="Q212" s="113"/>
    </row>
    <row r="213" spans="1:17" s="114" customFormat="1" ht="105">
      <c r="A213" s="105">
        <v>38</v>
      </c>
      <c r="B213" s="106" t="s">
        <v>42</v>
      </c>
      <c r="C213" s="110">
        <v>44652</v>
      </c>
      <c r="D213" s="107" t="s">
        <v>732</v>
      </c>
      <c r="E213" s="108" t="s">
        <v>729</v>
      </c>
      <c r="F213" s="105">
        <f t="shared" si="22"/>
        <v>28665</v>
      </c>
      <c r="G213" s="108" t="s">
        <v>730</v>
      </c>
      <c r="H213" s="109">
        <f t="shared" si="21"/>
        <v>28665</v>
      </c>
      <c r="I213" s="122" t="s">
        <v>679</v>
      </c>
      <c r="J213" s="110">
        <v>44742</v>
      </c>
      <c r="K213" s="122" t="s">
        <v>61</v>
      </c>
      <c r="L213" s="110"/>
      <c r="M213" s="110"/>
      <c r="N213" s="111"/>
      <c r="O213" s="112"/>
      <c r="P213" s="112"/>
      <c r="Q213" s="113"/>
    </row>
    <row r="214" spans="1:17" s="114" customFormat="1" ht="105">
      <c r="A214" s="105">
        <v>39</v>
      </c>
      <c r="B214" s="106" t="s">
        <v>42</v>
      </c>
      <c r="C214" s="110">
        <v>44652</v>
      </c>
      <c r="D214" s="107" t="s">
        <v>731</v>
      </c>
      <c r="E214" s="108" t="s">
        <v>729</v>
      </c>
      <c r="F214" s="105">
        <f t="shared" si="22"/>
        <v>28665</v>
      </c>
      <c r="G214" s="108" t="s">
        <v>734</v>
      </c>
      <c r="H214" s="109">
        <f t="shared" si="21"/>
        <v>28665</v>
      </c>
      <c r="I214" s="122" t="s">
        <v>679</v>
      </c>
      <c r="J214" s="110">
        <v>44742</v>
      </c>
      <c r="K214" s="122" t="s">
        <v>61</v>
      </c>
      <c r="L214" s="110"/>
      <c r="M214" s="110"/>
      <c r="N214" s="178"/>
      <c r="O214" s="112"/>
      <c r="P214" s="112"/>
      <c r="Q214" s="113"/>
    </row>
    <row r="215" spans="1:17" s="114" customFormat="1" ht="105">
      <c r="A215" s="105">
        <v>40</v>
      </c>
      <c r="B215" s="106" t="s">
        <v>42</v>
      </c>
      <c r="C215" s="110">
        <v>44652</v>
      </c>
      <c r="D215" s="107" t="s">
        <v>733</v>
      </c>
      <c r="E215" s="108" t="s">
        <v>729</v>
      </c>
      <c r="F215" s="105">
        <f t="shared" si="22"/>
        <v>28665</v>
      </c>
      <c r="G215" s="108" t="s">
        <v>735</v>
      </c>
      <c r="H215" s="109">
        <f t="shared" si="21"/>
        <v>28665</v>
      </c>
      <c r="I215" s="122" t="s">
        <v>679</v>
      </c>
      <c r="J215" s="110">
        <v>44742</v>
      </c>
      <c r="K215" s="122" t="s">
        <v>61</v>
      </c>
      <c r="L215" s="110"/>
      <c r="M215" s="110"/>
      <c r="N215" s="178"/>
      <c r="O215" s="112"/>
      <c r="P215" s="112"/>
      <c r="Q215" s="113"/>
    </row>
    <row r="216" spans="1:17" s="114" customFormat="1" ht="105">
      <c r="A216" s="105">
        <v>41</v>
      </c>
      <c r="B216" s="106" t="s">
        <v>42</v>
      </c>
      <c r="C216" s="110">
        <v>44652</v>
      </c>
      <c r="D216" s="107" t="s">
        <v>737</v>
      </c>
      <c r="E216" s="108" t="s">
        <v>729</v>
      </c>
      <c r="F216" s="105">
        <f t="shared" si="22"/>
        <v>28665</v>
      </c>
      <c r="G216" s="108" t="s">
        <v>738</v>
      </c>
      <c r="H216" s="109">
        <f t="shared" si="21"/>
        <v>28665</v>
      </c>
      <c r="I216" s="122" t="s">
        <v>679</v>
      </c>
      <c r="J216" s="110">
        <v>44742</v>
      </c>
      <c r="K216" s="122" t="s">
        <v>61</v>
      </c>
      <c r="L216" s="110"/>
      <c r="M216" s="110"/>
      <c r="N216" s="178"/>
      <c r="O216" s="112"/>
      <c r="P216" s="112"/>
      <c r="Q216" s="113"/>
    </row>
    <row r="217" spans="1:17" s="114" customFormat="1" ht="105">
      <c r="A217" s="105">
        <v>42</v>
      </c>
      <c r="B217" s="106" t="s">
        <v>42</v>
      </c>
      <c r="C217" s="110">
        <v>44652</v>
      </c>
      <c r="D217" s="107" t="s">
        <v>740</v>
      </c>
      <c r="E217" s="108" t="s">
        <v>741</v>
      </c>
      <c r="F217" s="105">
        <f>3*9000</f>
        <v>27000</v>
      </c>
      <c r="G217" s="108" t="s">
        <v>742</v>
      </c>
      <c r="H217" s="109">
        <f t="shared" ref="H217:H218" si="23">F217</f>
        <v>27000</v>
      </c>
      <c r="I217" s="122" t="s">
        <v>679</v>
      </c>
      <c r="J217" s="110">
        <v>44742</v>
      </c>
      <c r="K217" s="122" t="s">
        <v>26</v>
      </c>
      <c r="L217" s="110"/>
      <c r="M217" s="110"/>
      <c r="N217" s="178"/>
      <c r="O217" s="112"/>
      <c r="P217" s="112"/>
      <c r="Q217" s="113"/>
    </row>
    <row r="218" spans="1:17" s="114" customFormat="1" ht="168">
      <c r="A218" s="105">
        <v>43</v>
      </c>
      <c r="B218" s="314" t="s">
        <v>42</v>
      </c>
      <c r="C218" s="110">
        <v>44652</v>
      </c>
      <c r="D218" s="210" t="s">
        <v>790</v>
      </c>
      <c r="E218" s="212" t="s">
        <v>914</v>
      </c>
      <c r="F218" s="265">
        <f>3000*6</f>
        <v>18000</v>
      </c>
      <c r="G218" s="212" t="s">
        <v>358</v>
      </c>
      <c r="H218" s="208">
        <f t="shared" si="23"/>
        <v>18000</v>
      </c>
      <c r="I218" s="208" t="s">
        <v>34</v>
      </c>
      <c r="J218" s="110">
        <v>44834</v>
      </c>
      <c r="K218" s="315" t="s">
        <v>37</v>
      </c>
      <c r="L218" s="208"/>
      <c r="M218" s="208"/>
      <c r="N218" s="316"/>
      <c r="O218" s="112"/>
      <c r="P218" s="112"/>
      <c r="Q218" s="113">
        <f t="shared" ref="Q218" si="24">N218-O218</f>
        <v>0</v>
      </c>
    </row>
    <row r="219" spans="1:17" s="114" customFormat="1" ht="84">
      <c r="A219" s="105">
        <v>44</v>
      </c>
      <c r="B219" s="106" t="s">
        <v>42</v>
      </c>
      <c r="C219" s="110">
        <v>44652</v>
      </c>
      <c r="D219" s="107" t="s">
        <v>791</v>
      </c>
      <c r="E219" s="108" t="s">
        <v>823</v>
      </c>
      <c r="F219" s="105">
        <f>224*7*6</f>
        <v>9408</v>
      </c>
      <c r="G219" s="108" t="s">
        <v>265</v>
      </c>
      <c r="H219" s="109">
        <f>223*6*7</f>
        <v>9366</v>
      </c>
      <c r="I219" s="109" t="s">
        <v>34</v>
      </c>
      <c r="J219" s="110">
        <v>44834</v>
      </c>
      <c r="K219" s="122" t="s">
        <v>37</v>
      </c>
      <c r="L219" s="109"/>
      <c r="M219" s="109"/>
      <c r="N219" s="111">
        <f>224*7</f>
        <v>1568</v>
      </c>
      <c r="O219" s="112">
        <v>1477</v>
      </c>
      <c r="P219" s="112"/>
      <c r="Q219" s="113">
        <f>N219-O219</f>
        <v>91</v>
      </c>
    </row>
    <row r="220" spans="1:17" s="114" customFormat="1" ht="84">
      <c r="A220" s="105">
        <v>45</v>
      </c>
      <c r="B220" s="106" t="s">
        <v>42</v>
      </c>
      <c r="C220" s="110">
        <v>44652</v>
      </c>
      <c r="D220" s="107" t="s">
        <v>792</v>
      </c>
      <c r="E220" s="108" t="s">
        <v>793</v>
      </c>
      <c r="F220" s="105">
        <f>166*7*6</f>
        <v>6972</v>
      </c>
      <c r="G220" s="108" t="s">
        <v>794</v>
      </c>
      <c r="H220" s="109">
        <f>F220</f>
        <v>6972</v>
      </c>
      <c r="I220" s="109" t="s">
        <v>34</v>
      </c>
      <c r="J220" s="110">
        <v>44834</v>
      </c>
      <c r="K220" s="122" t="s">
        <v>37</v>
      </c>
      <c r="L220" s="109"/>
      <c r="M220" s="109"/>
      <c r="N220" s="111">
        <f>166*7</f>
        <v>1162</v>
      </c>
      <c r="O220" s="112">
        <v>1085</v>
      </c>
      <c r="P220" s="112"/>
      <c r="Q220" s="113">
        <f t="shared" ref="Q220:Q222" si="25">N220-O220</f>
        <v>77</v>
      </c>
    </row>
    <row r="221" spans="1:17" s="114" customFormat="1" ht="147">
      <c r="A221" s="105">
        <v>46</v>
      </c>
      <c r="B221" s="106" t="s">
        <v>42</v>
      </c>
      <c r="C221" s="110">
        <v>44652</v>
      </c>
      <c r="D221" s="107" t="s">
        <v>795</v>
      </c>
      <c r="E221" s="108" t="s">
        <v>796</v>
      </c>
      <c r="F221" s="105">
        <f>469*6*7</f>
        <v>19698</v>
      </c>
      <c r="G221" s="108" t="s">
        <v>797</v>
      </c>
      <c r="H221" s="109">
        <f t="shared" ref="H221:H222" si="26">F221</f>
        <v>19698</v>
      </c>
      <c r="I221" s="109" t="s">
        <v>34</v>
      </c>
      <c r="J221" s="110">
        <v>44834</v>
      </c>
      <c r="K221" s="122" t="s">
        <v>37</v>
      </c>
      <c r="L221" s="109"/>
      <c r="M221" s="109"/>
      <c r="N221" s="111">
        <f>469*7</f>
        <v>3283</v>
      </c>
      <c r="O221" s="112">
        <v>3143</v>
      </c>
      <c r="P221" s="112"/>
      <c r="Q221" s="113">
        <f t="shared" si="25"/>
        <v>140</v>
      </c>
    </row>
    <row r="222" spans="1:17" s="114" customFormat="1" ht="84">
      <c r="A222" s="105">
        <v>47</v>
      </c>
      <c r="B222" s="106" t="s">
        <v>42</v>
      </c>
      <c r="C222" s="110">
        <v>44652</v>
      </c>
      <c r="D222" s="107" t="s">
        <v>798</v>
      </c>
      <c r="E222" s="108" t="s">
        <v>799</v>
      </c>
      <c r="F222" s="105">
        <f>131*6*7</f>
        <v>5502</v>
      </c>
      <c r="G222" s="108" t="s">
        <v>272</v>
      </c>
      <c r="H222" s="109">
        <f t="shared" si="26"/>
        <v>5502</v>
      </c>
      <c r="I222" s="109" t="s">
        <v>34</v>
      </c>
      <c r="J222" s="110">
        <v>44834</v>
      </c>
      <c r="K222" s="122" t="s">
        <v>37</v>
      </c>
      <c r="L222" s="109"/>
      <c r="M222" s="109"/>
      <c r="N222" s="111">
        <f>131*7</f>
        <v>917</v>
      </c>
      <c r="O222" s="112">
        <v>882</v>
      </c>
      <c r="P222" s="112"/>
      <c r="Q222" s="113">
        <f t="shared" si="25"/>
        <v>35</v>
      </c>
    </row>
    <row r="223" spans="1:17" s="114" customFormat="1" ht="168">
      <c r="A223" s="105">
        <v>48</v>
      </c>
      <c r="B223" s="106" t="s">
        <v>42</v>
      </c>
      <c r="C223" s="110">
        <v>44652</v>
      </c>
      <c r="D223" s="107" t="s">
        <v>800</v>
      </c>
      <c r="E223" s="108" t="s">
        <v>852</v>
      </c>
      <c r="F223" s="105">
        <f>489*6*7</f>
        <v>20538</v>
      </c>
      <c r="G223" s="108" t="s">
        <v>853</v>
      </c>
      <c r="H223" s="109">
        <f t="shared" ref="H223:H232" si="27">F223</f>
        <v>20538</v>
      </c>
      <c r="I223" s="109" t="s">
        <v>34</v>
      </c>
      <c r="J223" s="110">
        <v>44834</v>
      </c>
      <c r="K223" s="122" t="s">
        <v>37</v>
      </c>
      <c r="L223" s="109"/>
      <c r="M223" s="109"/>
      <c r="N223" s="111">
        <f>489*7</f>
        <v>3423</v>
      </c>
      <c r="O223" s="112">
        <v>3234</v>
      </c>
      <c r="P223" s="112"/>
      <c r="Q223" s="113">
        <f t="shared" ref="Q223:Q232" si="28">N223-O223</f>
        <v>189</v>
      </c>
    </row>
    <row r="224" spans="1:17" s="114" customFormat="1" ht="84">
      <c r="A224" s="105">
        <v>49</v>
      </c>
      <c r="B224" s="106" t="s">
        <v>42</v>
      </c>
      <c r="C224" s="110">
        <v>44652</v>
      </c>
      <c r="D224" s="107" t="s">
        <v>801</v>
      </c>
      <c r="E224" s="108" t="s">
        <v>802</v>
      </c>
      <c r="F224" s="105">
        <f>103*7*6</f>
        <v>4326</v>
      </c>
      <c r="G224" s="108" t="s">
        <v>541</v>
      </c>
      <c r="H224" s="109">
        <f t="shared" si="27"/>
        <v>4326</v>
      </c>
      <c r="I224" s="109" t="s">
        <v>34</v>
      </c>
      <c r="J224" s="110">
        <v>44834</v>
      </c>
      <c r="K224" s="122" t="s">
        <v>37</v>
      </c>
      <c r="L224" s="109"/>
      <c r="M224" s="109"/>
      <c r="N224" s="111">
        <f>103*7</f>
        <v>721</v>
      </c>
      <c r="O224" s="112">
        <v>651</v>
      </c>
      <c r="P224" s="112"/>
      <c r="Q224" s="113">
        <f t="shared" si="28"/>
        <v>70</v>
      </c>
    </row>
    <row r="225" spans="1:17" s="114" customFormat="1" ht="150">
      <c r="A225" s="105">
        <v>50</v>
      </c>
      <c r="B225" s="106" t="s">
        <v>42</v>
      </c>
      <c r="C225" s="110">
        <v>44652</v>
      </c>
      <c r="D225" s="107" t="s">
        <v>803</v>
      </c>
      <c r="E225" s="160" t="s">
        <v>804</v>
      </c>
      <c r="F225" s="105">
        <f>569*6*7</f>
        <v>23898</v>
      </c>
      <c r="G225" s="108" t="s">
        <v>523</v>
      </c>
      <c r="H225" s="109">
        <f t="shared" si="27"/>
        <v>23898</v>
      </c>
      <c r="I225" s="109" t="s">
        <v>34</v>
      </c>
      <c r="J225" s="110">
        <v>44834</v>
      </c>
      <c r="K225" s="122" t="s">
        <v>37</v>
      </c>
      <c r="L225" s="109"/>
      <c r="M225" s="109"/>
      <c r="N225" s="111">
        <f>569*7</f>
        <v>3983</v>
      </c>
      <c r="O225" s="112"/>
      <c r="P225" s="112"/>
      <c r="Q225" s="113">
        <f t="shared" si="28"/>
        <v>3983</v>
      </c>
    </row>
    <row r="226" spans="1:17" s="114" customFormat="1" ht="126">
      <c r="A226" s="105">
        <v>51</v>
      </c>
      <c r="B226" s="106" t="s">
        <v>42</v>
      </c>
      <c r="C226" s="110">
        <v>44652</v>
      </c>
      <c r="D226" s="107" t="s">
        <v>808</v>
      </c>
      <c r="E226" s="108" t="s">
        <v>806</v>
      </c>
      <c r="F226" s="105">
        <f>300*6*7</f>
        <v>12600</v>
      </c>
      <c r="G226" s="108" t="s">
        <v>282</v>
      </c>
      <c r="H226" s="109">
        <f t="shared" si="27"/>
        <v>12600</v>
      </c>
      <c r="I226" s="109" t="s">
        <v>34</v>
      </c>
      <c r="J226" s="110">
        <v>44834</v>
      </c>
      <c r="K226" s="122" t="s">
        <v>37</v>
      </c>
      <c r="L226" s="109"/>
      <c r="M226" s="109"/>
      <c r="N226" s="111">
        <f>300*7</f>
        <v>2100</v>
      </c>
      <c r="O226" s="112">
        <v>1960</v>
      </c>
      <c r="P226" s="112"/>
      <c r="Q226" s="113">
        <f t="shared" si="28"/>
        <v>140</v>
      </c>
    </row>
    <row r="227" spans="1:17" s="114" customFormat="1" ht="126">
      <c r="A227" s="105">
        <v>52</v>
      </c>
      <c r="B227" s="106" t="s">
        <v>42</v>
      </c>
      <c r="C227" s="110">
        <v>44652</v>
      </c>
      <c r="D227" s="107" t="s">
        <v>809</v>
      </c>
      <c r="E227" s="108" t="s">
        <v>810</v>
      </c>
      <c r="F227" s="105">
        <f>244*7*6</f>
        <v>10248</v>
      </c>
      <c r="G227" s="108" t="s">
        <v>811</v>
      </c>
      <c r="H227" s="109">
        <f t="shared" si="27"/>
        <v>10248</v>
      </c>
      <c r="I227" s="109" t="s">
        <v>34</v>
      </c>
      <c r="J227" s="110">
        <v>44834</v>
      </c>
      <c r="K227" s="122" t="s">
        <v>37</v>
      </c>
      <c r="L227" s="109"/>
      <c r="M227" s="109"/>
      <c r="N227" s="111">
        <f>244*7</f>
        <v>1708</v>
      </c>
      <c r="O227" s="112">
        <v>1568</v>
      </c>
      <c r="P227" s="112"/>
      <c r="Q227" s="113">
        <f t="shared" si="28"/>
        <v>140</v>
      </c>
    </row>
    <row r="228" spans="1:17" s="114" customFormat="1" ht="126">
      <c r="A228" s="105">
        <v>53</v>
      </c>
      <c r="B228" s="106" t="s">
        <v>42</v>
      </c>
      <c r="C228" s="110">
        <v>44652</v>
      </c>
      <c r="D228" s="107" t="s">
        <v>812</v>
      </c>
      <c r="E228" s="108" t="s">
        <v>813</v>
      </c>
      <c r="F228" s="105">
        <f>244*6*7</f>
        <v>10248</v>
      </c>
      <c r="G228" s="108" t="s">
        <v>814</v>
      </c>
      <c r="H228" s="109">
        <f t="shared" si="27"/>
        <v>10248</v>
      </c>
      <c r="I228" s="109" t="s">
        <v>34</v>
      </c>
      <c r="J228" s="110">
        <v>44834</v>
      </c>
      <c r="K228" s="122" t="s">
        <v>37</v>
      </c>
      <c r="L228" s="109"/>
      <c r="M228" s="109"/>
      <c r="N228" s="111">
        <f>244*7</f>
        <v>1708</v>
      </c>
      <c r="O228" s="112">
        <v>1561</v>
      </c>
      <c r="P228" s="112"/>
      <c r="Q228" s="113">
        <f t="shared" si="28"/>
        <v>147</v>
      </c>
    </row>
    <row r="229" spans="1:17" s="114" customFormat="1" ht="126">
      <c r="A229" s="105">
        <v>54</v>
      </c>
      <c r="B229" s="106" t="s">
        <v>42</v>
      </c>
      <c r="C229" s="110">
        <v>44652</v>
      </c>
      <c r="D229" s="107" t="s">
        <v>818</v>
      </c>
      <c r="E229" s="108" t="s">
        <v>819</v>
      </c>
      <c r="F229" s="105">
        <f>389*6*7</f>
        <v>16338</v>
      </c>
      <c r="G229" s="108" t="s">
        <v>291</v>
      </c>
      <c r="H229" s="109">
        <f t="shared" si="27"/>
        <v>16338</v>
      </c>
      <c r="I229" s="109" t="s">
        <v>34</v>
      </c>
      <c r="J229" s="110">
        <v>44834</v>
      </c>
      <c r="K229" s="122" t="s">
        <v>37</v>
      </c>
      <c r="L229" s="109"/>
      <c r="M229" s="109"/>
      <c r="N229" s="111">
        <f>389*7</f>
        <v>2723</v>
      </c>
      <c r="O229" s="112">
        <v>2583</v>
      </c>
      <c r="P229" s="112"/>
      <c r="Q229" s="113">
        <f t="shared" si="28"/>
        <v>140</v>
      </c>
    </row>
    <row r="230" spans="1:17" s="114" customFormat="1" ht="84">
      <c r="A230" s="105">
        <v>55</v>
      </c>
      <c r="B230" s="106" t="s">
        <v>42</v>
      </c>
      <c r="C230" s="110">
        <v>44652</v>
      </c>
      <c r="D230" s="107" t="s">
        <v>820</v>
      </c>
      <c r="E230" s="108" t="s">
        <v>821</v>
      </c>
      <c r="F230" s="105">
        <f>119*6*7</f>
        <v>4998</v>
      </c>
      <c r="G230" s="108" t="s">
        <v>293</v>
      </c>
      <c r="H230" s="109">
        <f t="shared" si="27"/>
        <v>4998</v>
      </c>
      <c r="I230" s="109" t="s">
        <v>34</v>
      </c>
      <c r="J230" s="110">
        <v>44834</v>
      </c>
      <c r="K230" s="122" t="s">
        <v>37</v>
      </c>
      <c r="L230" s="109"/>
      <c r="M230" s="109"/>
      <c r="N230" s="111">
        <f>119*7</f>
        <v>833</v>
      </c>
      <c r="O230" s="112">
        <v>763</v>
      </c>
      <c r="P230" s="112"/>
      <c r="Q230" s="113">
        <f t="shared" si="28"/>
        <v>70</v>
      </c>
    </row>
    <row r="231" spans="1:17" s="114" customFormat="1" ht="84">
      <c r="A231" s="105">
        <v>56</v>
      </c>
      <c r="B231" s="106" t="s">
        <v>42</v>
      </c>
      <c r="C231" s="110">
        <v>44652</v>
      </c>
      <c r="D231" s="107" t="s">
        <v>825</v>
      </c>
      <c r="E231" s="108" t="s">
        <v>822</v>
      </c>
      <c r="F231" s="105">
        <f>117*6*7</f>
        <v>4914</v>
      </c>
      <c r="G231" s="108" t="s">
        <v>296</v>
      </c>
      <c r="H231" s="109">
        <f t="shared" si="27"/>
        <v>4914</v>
      </c>
      <c r="I231" s="109" t="s">
        <v>34</v>
      </c>
      <c r="J231" s="110">
        <v>44834</v>
      </c>
      <c r="K231" s="122" t="s">
        <v>37</v>
      </c>
      <c r="L231" s="109"/>
      <c r="M231" s="109"/>
      <c r="N231" s="111">
        <f>117*7</f>
        <v>819</v>
      </c>
      <c r="O231" s="112">
        <v>742</v>
      </c>
      <c r="P231" s="112"/>
      <c r="Q231" s="113">
        <f t="shared" si="28"/>
        <v>77</v>
      </c>
    </row>
    <row r="232" spans="1:17" s="114" customFormat="1" ht="84">
      <c r="A232" s="105">
        <v>57</v>
      </c>
      <c r="B232" s="106" t="s">
        <v>42</v>
      </c>
      <c r="C232" s="110">
        <v>44652</v>
      </c>
      <c r="D232" s="107" t="s">
        <v>826</v>
      </c>
      <c r="E232" s="108" t="s">
        <v>854</v>
      </c>
      <c r="F232" s="105">
        <f>124*6*7</f>
        <v>5208</v>
      </c>
      <c r="G232" s="108" t="s">
        <v>299</v>
      </c>
      <c r="H232" s="109">
        <f t="shared" si="27"/>
        <v>5208</v>
      </c>
      <c r="I232" s="109" t="s">
        <v>34</v>
      </c>
      <c r="J232" s="110">
        <v>44834</v>
      </c>
      <c r="K232" s="122" t="s">
        <v>37</v>
      </c>
      <c r="L232" s="109"/>
      <c r="M232" s="109"/>
      <c r="N232" s="111">
        <f>124*7</f>
        <v>868</v>
      </c>
      <c r="O232" s="112">
        <v>777</v>
      </c>
      <c r="P232" s="112"/>
      <c r="Q232" s="113">
        <f t="shared" si="28"/>
        <v>91</v>
      </c>
    </row>
    <row r="233" spans="1:17" s="114" customFormat="1" ht="84">
      <c r="A233" s="105">
        <v>58</v>
      </c>
      <c r="B233" s="106" t="s">
        <v>42</v>
      </c>
      <c r="C233" s="110">
        <v>44652</v>
      </c>
      <c r="D233" s="107" t="s">
        <v>827</v>
      </c>
      <c r="E233" s="108" t="s">
        <v>828</v>
      </c>
      <c r="F233" s="105">
        <f>62*6*7</f>
        <v>2604</v>
      </c>
      <c r="G233" s="108" t="s">
        <v>824</v>
      </c>
      <c r="H233" s="109">
        <f t="shared" ref="H233:H243" si="29">F233</f>
        <v>2604</v>
      </c>
      <c r="I233" s="109" t="s">
        <v>34</v>
      </c>
      <c r="J233" s="110">
        <v>44834</v>
      </c>
      <c r="K233" s="122" t="s">
        <v>37</v>
      </c>
      <c r="L233" s="109"/>
      <c r="M233" s="109"/>
      <c r="N233" s="111">
        <f>62*7</f>
        <v>434</v>
      </c>
      <c r="O233" s="112"/>
      <c r="P233" s="112"/>
      <c r="Q233" s="113">
        <f t="shared" ref="Q233:Q243" si="30">N233-O233</f>
        <v>434</v>
      </c>
    </row>
    <row r="234" spans="1:17" s="114" customFormat="1" ht="84">
      <c r="A234" s="105">
        <v>59</v>
      </c>
      <c r="B234" s="106" t="s">
        <v>42</v>
      </c>
      <c r="C234" s="110">
        <v>44652</v>
      </c>
      <c r="D234" s="107" t="s">
        <v>830</v>
      </c>
      <c r="E234" s="108" t="s">
        <v>829</v>
      </c>
      <c r="F234" s="105">
        <f>148*6*7</f>
        <v>6216</v>
      </c>
      <c r="G234" s="108" t="s">
        <v>305</v>
      </c>
      <c r="H234" s="109">
        <f t="shared" si="29"/>
        <v>6216</v>
      </c>
      <c r="I234" s="109" t="s">
        <v>34</v>
      </c>
      <c r="J234" s="110">
        <v>44834</v>
      </c>
      <c r="K234" s="122" t="s">
        <v>37</v>
      </c>
      <c r="L234" s="109"/>
      <c r="M234" s="109"/>
      <c r="N234" s="111">
        <f>148*7</f>
        <v>1036</v>
      </c>
      <c r="O234" s="112">
        <v>987</v>
      </c>
      <c r="P234" s="112"/>
      <c r="Q234" s="113">
        <f t="shared" si="30"/>
        <v>49</v>
      </c>
    </row>
    <row r="235" spans="1:17" s="114" customFormat="1" ht="84">
      <c r="A235" s="105">
        <v>60</v>
      </c>
      <c r="B235" s="106" t="s">
        <v>42</v>
      </c>
      <c r="C235" s="110">
        <v>44652</v>
      </c>
      <c r="D235" s="107" t="s">
        <v>831</v>
      </c>
      <c r="E235" s="108" t="s">
        <v>833</v>
      </c>
      <c r="F235" s="105">
        <f>158*6*7</f>
        <v>6636</v>
      </c>
      <c r="G235" s="108" t="s">
        <v>832</v>
      </c>
      <c r="H235" s="109">
        <f t="shared" si="29"/>
        <v>6636</v>
      </c>
      <c r="I235" s="109" t="s">
        <v>34</v>
      </c>
      <c r="J235" s="110">
        <v>44834</v>
      </c>
      <c r="K235" s="122" t="s">
        <v>37</v>
      </c>
      <c r="L235" s="109"/>
      <c r="M235" s="109"/>
      <c r="N235" s="111">
        <f>158*7</f>
        <v>1106</v>
      </c>
      <c r="O235" s="112">
        <v>1036</v>
      </c>
      <c r="P235" s="112"/>
      <c r="Q235" s="113">
        <f t="shared" si="30"/>
        <v>70</v>
      </c>
    </row>
    <row r="236" spans="1:17" s="114" customFormat="1" ht="84">
      <c r="A236" s="105">
        <v>61</v>
      </c>
      <c r="B236" s="106" t="s">
        <v>42</v>
      </c>
      <c r="C236" s="110">
        <v>44652</v>
      </c>
      <c r="D236" s="107" t="s">
        <v>834</v>
      </c>
      <c r="E236" s="108" t="s">
        <v>835</v>
      </c>
      <c r="F236" s="105">
        <f>112*6*7</f>
        <v>4704</v>
      </c>
      <c r="G236" s="108" t="s">
        <v>311</v>
      </c>
      <c r="H236" s="109">
        <f t="shared" si="29"/>
        <v>4704</v>
      </c>
      <c r="I236" s="109" t="s">
        <v>34</v>
      </c>
      <c r="J236" s="110">
        <v>44834</v>
      </c>
      <c r="K236" s="122" t="s">
        <v>37</v>
      </c>
      <c r="L236" s="109"/>
      <c r="M236" s="109"/>
      <c r="N236" s="111">
        <f>112*7</f>
        <v>784</v>
      </c>
      <c r="O236" s="112">
        <v>728</v>
      </c>
      <c r="P236" s="112"/>
      <c r="Q236" s="113">
        <f t="shared" si="30"/>
        <v>56</v>
      </c>
    </row>
    <row r="237" spans="1:17" s="114" customFormat="1" ht="126">
      <c r="A237" s="105">
        <v>62</v>
      </c>
      <c r="B237" s="106" t="s">
        <v>42</v>
      </c>
      <c r="C237" s="110">
        <v>44652</v>
      </c>
      <c r="D237" s="107" t="s">
        <v>836</v>
      </c>
      <c r="E237" s="108" t="s">
        <v>837</v>
      </c>
      <c r="F237" s="105">
        <f>251*6*7</f>
        <v>10542</v>
      </c>
      <c r="G237" s="108" t="s">
        <v>318</v>
      </c>
      <c r="H237" s="109">
        <f t="shared" si="29"/>
        <v>10542</v>
      </c>
      <c r="I237" s="109" t="s">
        <v>34</v>
      </c>
      <c r="J237" s="110">
        <v>44834</v>
      </c>
      <c r="K237" s="122" t="s">
        <v>37</v>
      </c>
      <c r="L237" s="109"/>
      <c r="M237" s="109"/>
      <c r="N237" s="111">
        <f>251*7</f>
        <v>1757</v>
      </c>
      <c r="O237" s="112">
        <v>1617</v>
      </c>
      <c r="P237" s="112"/>
      <c r="Q237" s="113">
        <f t="shared" si="30"/>
        <v>140</v>
      </c>
    </row>
    <row r="238" spans="1:17" s="114" customFormat="1" ht="84">
      <c r="A238" s="105">
        <v>63</v>
      </c>
      <c r="B238" s="106" t="s">
        <v>42</v>
      </c>
      <c r="C238" s="110">
        <v>44652</v>
      </c>
      <c r="D238" s="107" t="s">
        <v>838</v>
      </c>
      <c r="E238" s="108" t="s">
        <v>839</v>
      </c>
      <c r="F238" s="105">
        <f>243*6*7</f>
        <v>10206</v>
      </c>
      <c r="G238" s="108" t="s">
        <v>840</v>
      </c>
      <c r="H238" s="109">
        <f t="shared" si="29"/>
        <v>10206</v>
      </c>
      <c r="I238" s="109" t="s">
        <v>34</v>
      </c>
      <c r="J238" s="110">
        <v>44834</v>
      </c>
      <c r="K238" s="122" t="s">
        <v>37</v>
      </c>
      <c r="L238" s="109"/>
      <c r="M238" s="109"/>
      <c r="N238" s="111">
        <f>243*7</f>
        <v>1701</v>
      </c>
      <c r="O238" s="112"/>
      <c r="P238" s="112"/>
      <c r="Q238" s="113">
        <f t="shared" si="30"/>
        <v>1701</v>
      </c>
    </row>
    <row r="239" spans="1:17" s="114" customFormat="1" ht="105">
      <c r="A239" s="105">
        <v>64</v>
      </c>
      <c r="B239" s="106" t="s">
        <v>42</v>
      </c>
      <c r="C239" s="110">
        <v>44652</v>
      </c>
      <c r="D239" s="107" t="s">
        <v>843</v>
      </c>
      <c r="E239" s="108" t="s">
        <v>841</v>
      </c>
      <c r="F239" s="105">
        <f>202*6*7</f>
        <v>8484</v>
      </c>
      <c r="G239" s="108" t="s">
        <v>842</v>
      </c>
      <c r="H239" s="109">
        <f t="shared" si="29"/>
        <v>8484</v>
      </c>
      <c r="I239" s="109" t="s">
        <v>34</v>
      </c>
      <c r="J239" s="110">
        <v>44834</v>
      </c>
      <c r="K239" s="122" t="s">
        <v>37</v>
      </c>
      <c r="L239" s="109"/>
      <c r="M239" s="109"/>
      <c r="N239" s="111">
        <f>207*7</f>
        <v>1449</v>
      </c>
      <c r="O239" s="112">
        <v>1309</v>
      </c>
      <c r="P239" s="112"/>
      <c r="Q239" s="113">
        <f t="shared" si="30"/>
        <v>140</v>
      </c>
    </row>
    <row r="240" spans="1:17" s="114" customFormat="1" ht="105">
      <c r="A240" s="105">
        <v>65</v>
      </c>
      <c r="B240" s="106" t="s">
        <v>42</v>
      </c>
      <c r="C240" s="110">
        <v>44652</v>
      </c>
      <c r="D240" s="107" t="s">
        <v>844</v>
      </c>
      <c r="E240" s="108" t="s">
        <v>846</v>
      </c>
      <c r="F240" s="105">
        <f>260*6*7</f>
        <v>10920</v>
      </c>
      <c r="G240" s="108" t="s">
        <v>320</v>
      </c>
      <c r="H240" s="109">
        <f t="shared" si="29"/>
        <v>10920</v>
      </c>
      <c r="I240" s="109" t="s">
        <v>34</v>
      </c>
      <c r="J240" s="110">
        <v>44834</v>
      </c>
      <c r="K240" s="122" t="s">
        <v>37</v>
      </c>
      <c r="L240" s="109"/>
      <c r="M240" s="109"/>
      <c r="N240" s="111">
        <f>206*7</f>
        <v>1442</v>
      </c>
      <c r="O240" s="112">
        <v>1771</v>
      </c>
      <c r="P240" s="112"/>
      <c r="Q240" s="113">
        <f t="shared" si="30"/>
        <v>-329</v>
      </c>
    </row>
    <row r="241" spans="1:18" s="114" customFormat="1" ht="105">
      <c r="A241" s="105">
        <v>66</v>
      </c>
      <c r="B241" s="106" t="s">
        <v>42</v>
      </c>
      <c r="C241" s="110">
        <v>44652</v>
      </c>
      <c r="D241" s="107" t="s">
        <v>845</v>
      </c>
      <c r="E241" s="108" t="s">
        <v>847</v>
      </c>
      <c r="F241" s="105">
        <f>174*6*7</f>
        <v>7308</v>
      </c>
      <c r="G241" s="108" t="s">
        <v>327</v>
      </c>
      <c r="H241" s="109">
        <f t="shared" si="29"/>
        <v>7308</v>
      </c>
      <c r="I241" s="109" t="s">
        <v>34</v>
      </c>
      <c r="J241" s="110">
        <v>44834</v>
      </c>
      <c r="K241" s="122" t="s">
        <v>37</v>
      </c>
      <c r="L241" s="109"/>
      <c r="M241" s="109"/>
      <c r="N241" s="111">
        <f>174*7</f>
        <v>1218</v>
      </c>
      <c r="O241" s="112">
        <v>1183</v>
      </c>
      <c r="P241" s="112"/>
      <c r="Q241" s="113">
        <f t="shared" si="30"/>
        <v>35</v>
      </c>
    </row>
    <row r="242" spans="1:18" s="114" customFormat="1" ht="105">
      <c r="A242" s="105">
        <v>67</v>
      </c>
      <c r="B242" s="106" t="s">
        <v>42</v>
      </c>
      <c r="C242" s="110">
        <v>44652</v>
      </c>
      <c r="D242" s="107" t="s">
        <v>848</v>
      </c>
      <c r="E242" s="108" t="s">
        <v>849</v>
      </c>
      <c r="F242" s="105">
        <f>204*6*7</f>
        <v>8568</v>
      </c>
      <c r="G242" s="108" t="s">
        <v>871</v>
      </c>
      <c r="H242" s="109">
        <f t="shared" si="29"/>
        <v>8568</v>
      </c>
      <c r="I242" s="109" t="s">
        <v>34</v>
      </c>
      <c r="J242" s="110">
        <v>44834</v>
      </c>
      <c r="K242" s="122" t="s">
        <v>37</v>
      </c>
      <c r="L242" s="109"/>
      <c r="M242" s="109"/>
      <c r="N242" s="111">
        <f>204*7</f>
        <v>1428</v>
      </c>
      <c r="O242" s="112">
        <v>1323</v>
      </c>
      <c r="P242" s="112"/>
      <c r="Q242" s="113">
        <f t="shared" si="30"/>
        <v>105</v>
      </c>
    </row>
    <row r="243" spans="1:18" s="114" customFormat="1" ht="105">
      <c r="A243" s="153">
        <v>68</v>
      </c>
      <c r="B243" s="336" t="s">
        <v>42</v>
      </c>
      <c r="C243" s="243">
        <v>44652</v>
      </c>
      <c r="D243" s="156" t="s">
        <v>850</v>
      </c>
      <c r="E243" s="157" t="s">
        <v>851</v>
      </c>
      <c r="F243" s="153">
        <f>176*6*7</f>
        <v>7392</v>
      </c>
      <c r="G243" s="157" t="s">
        <v>872</v>
      </c>
      <c r="H243" s="158">
        <f t="shared" si="29"/>
        <v>7392</v>
      </c>
      <c r="I243" s="158" t="s">
        <v>34</v>
      </c>
      <c r="J243" s="243">
        <v>44834</v>
      </c>
      <c r="K243" s="338" t="s">
        <v>37</v>
      </c>
      <c r="L243" s="158"/>
      <c r="M243" s="158"/>
      <c r="N243" s="337">
        <f>176*7</f>
        <v>1232</v>
      </c>
      <c r="O243" s="112">
        <v>1169</v>
      </c>
      <c r="P243" s="112"/>
      <c r="Q243" s="113">
        <f t="shared" si="30"/>
        <v>63</v>
      </c>
      <c r="R243" s="114" t="s">
        <v>913</v>
      </c>
    </row>
    <row r="244" spans="1:18" s="67" customFormat="1" ht="25.5" customHeight="1">
      <c r="A244" s="538" t="s">
        <v>920</v>
      </c>
      <c r="B244" s="539"/>
      <c r="C244" s="539"/>
      <c r="D244" s="539"/>
      <c r="E244" s="540"/>
      <c r="F244" s="425"/>
      <c r="G244" s="426"/>
      <c r="H244" s="425"/>
      <c r="I244" s="425"/>
      <c r="J244" s="425"/>
      <c r="K244" s="425"/>
      <c r="L244" s="426"/>
      <c r="M244" s="426"/>
      <c r="N244" s="342"/>
      <c r="O244" s="116"/>
      <c r="P244" s="116"/>
    </row>
    <row r="245" spans="1:18" s="114" customFormat="1" ht="84">
      <c r="A245" s="335">
        <v>1</v>
      </c>
      <c r="B245" s="364" t="s">
        <v>42</v>
      </c>
      <c r="C245" s="232">
        <v>44718</v>
      </c>
      <c r="D245" s="231" t="s">
        <v>870</v>
      </c>
      <c r="E245" s="233" t="s">
        <v>962</v>
      </c>
      <c r="F245" s="335">
        <v>7500</v>
      </c>
      <c r="G245" s="233" t="s">
        <v>873</v>
      </c>
      <c r="H245" s="229">
        <f t="shared" ref="H245" si="31">F245</f>
        <v>7500</v>
      </c>
      <c r="I245" s="229" t="s">
        <v>34</v>
      </c>
      <c r="J245" s="232">
        <v>44742</v>
      </c>
      <c r="K245" s="256" t="s">
        <v>61</v>
      </c>
      <c r="L245" s="229"/>
      <c r="M245" s="229"/>
      <c r="N245" s="290" t="s">
        <v>934</v>
      </c>
      <c r="O245" s="112"/>
      <c r="P245" s="112"/>
      <c r="Q245" s="113" t="e">
        <f t="shared" ref="Q245" si="32">N245-O245</f>
        <v>#VALUE!</v>
      </c>
    </row>
    <row r="246" spans="1:18" s="114" customFormat="1">
      <c r="A246" s="368"/>
      <c r="B246" s="359"/>
      <c r="C246" s="167"/>
      <c r="D246" s="166"/>
      <c r="E246" s="292"/>
      <c r="F246" s="168"/>
      <c r="G246" s="292"/>
      <c r="H246" s="171"/>
      <c r="I246" s="171"/>
      <c r="J246" s="167"/>
      <c r="K246" s="173"/>
      <c r="L246" s="171"/>
      <c r="M246" s="171"/>
      <c r="N246" s="360"/>
      <c r="O246" s="112"/>
      <c r="P246" s="112"/>
      <c r="Q246" s="113"/>
    </row>
    <row r="247" spans="1:18" s="114" customFormat="1">
      <c r="A247" s="368"/>
      <c r="B247" s="263"/>
      <c r="C247" s="174"/>
      <c r="D247" s="151"/>
      <c r="E247" s="120"/>
      <c r="F247" s="118"/>
      <c r="G247" s="120"/>
      <c r="H247" s="126"/>
      <c r="I247" s="126"/>
      <c r="J247" s="174"/>
      <c r="K247" s="177"/>
      <c r="L247" s="126"/>
      <c r="M247" s="126"/>
      <c r="N247" s="264"/>
      <c r="O247" s="112"/>
      <c r="P247" s="112"/>
      <c r="Q247" s="113"/>
    </row>
    <row r="248" spans="1:18" s="114" customFormat="1">
      <c r="A248" s="368"/>
      <c r="B248" s="263"/>
      <c r="C248" s="174"/>
      <c r="D248" s="151"/>
      <c r="E248" s="120"/>
      <c r="F248" s="118"/>
      <c r="G248" s="120"/>
      <c r="H248" s="126"/>
      <c r="I248" s="126"/>
      <c r="J248" s="174"/>
      <c r="K248" s="177"/>
      <c r="L248" s="126"/>
      <c r="M248" s="126"/>
      <c r="N248" s="264"/>
      <c r="O248" s="112"/>
      <c r="P248" s="112"/>
      <c r="Q248" s="113"/>
    </row>
    <row r="249" spans="1:18" s="114" customFormat="1">
      <c r="A249" s="368"/>
      <c r="B249" s="263"/>
      <c r="C249" s="174"/>
      <c r="D249" s="151"/>
      <c r="E249" s="120"/>
      <c r="F249" s="118"/>
      <c r="G249" s="120"/>
      <c r="H249" s="126"/>
      <c r="I249" s="126"/>
      <c r="J249" s="174"/>
      <c r="K249" s="177"/>
      <c r="L249" s="126"/>
      <c r="M249" s="126"/>
      <c r="N249" s="264"/>
      <c r="O249" s="112"/>
      <c r="P249" s="112"/>
      <c r="Q249" s="113"/>
    </row>
    <row r="250" spans="1:18" s="114" customFormat="1">
      <c r="A250" s="368"/>
      <c r="B250" s="263"/>
      <c r="C250" s="174"/>
      <c r="D250" s="151"/>
      <c r="E250" s="120"/>
      <c r="F250" s="118"/>
      <c r="G250" s="120"/>
      <c r="H250" s="126"/>
      <c r="I250" s="126"/>
      <c r="J250" s="174"/>
      <c r="K250" s="177"/>
      <c r="L250" s="126"/>
      <c r="M250" s="126"/>
      <c r="N250" s="264"/>
      <c r="O250" s="112"/>
      <c r="P250" s="112"/>
      <c r="Q250" s="113"/>
    </row>
    <row r="251" spans="1:18" s="114" customFormat="1">
      <c r="A251" s="368"/>
      <c r="B251" s="263"/>
      <c r="C251" s="174"/>
      <c r="D251" s="151"/>
      <c r="E251" s="120"/>
      <c r="F251" s="118"/>
      <c r="G251" s="120"/>
      <c r="H251" s="126"/>
      <c r="I251" s="126"/>
      <c r="J251" s="174"/>
      <c r="K251" s="177"/>
      <c r="L251" s="126"/>
      <c r="M251" s="126"/>
      <c r="N251" s="264"/>
      <c r="O251" s="112"/>
      <c r="P251" s="112"/>
      <c r="Q251" s="113"/>
    </row>
    <row r="252" spans="1:18" s="114" customFormat="1">
      <c r="A252" s="368"/>
      <c r="B252" s="263"/>
      <c r="C252" s="174"/>
      <c r="D252" s="151"/>
      <c r="E252" s="120"/>
      <c r="F252" s="118"/>
      <c r="G252" s="120"/>
      <c r="H252" s="126"/>
      <c r="I252" s="126"/>
      <c r="J252" s="174"/>
      <c r="K252" s="177"/>
      <c r="L252" s="126"/>
      <c r="M252" s="126"/>
      <c r="N252" s="264"/>
      <c r="O252" s="112"/>
      <c r="P252" s="112"/>
      <c r="Q252" s="113"/>
    </row>
    <row r="253" spans="1:18" s="114" customFormat="1">
      <c r="A253" s="368"/>
      <c r="B253" s="263"/>
      <c r="C253" s="174"/>
      <c r="D253" s="151"/>
      <c r="E253" s="120"/>
      <c r="F253" s="118"/>
      <c r="G253" s="120"/>
      <c r="H253" s="126"/>
      <c r="I253" s="126"/>
      <c r="J253" s="174"/>
      <c r="K253" s="177"/>
      <c r="L253" s="126"/>
      <c r="M253" s="126"/>
      <c r="N253" s="264"/>
      <c r="O253" s="112"/>
      <c r="P253" s="112"/>
      <c r="Q253" s="113"/>
    </row>
    <row r="254" spans="1:18" s="114" customFormat="1">
      <c r="A254" s="368"/>
      <c r="B254" s="263"/>
      <c r="C254" s="174"/>
      <c r="D254" s="151"/>
      <c r="E254" s="120"/>
      <c r="F254" s="118"/>
      <c r="G254" s="120"/>
      <c r="H254" s="126"/>
      <c r="I254" s="126"/>
      <c r="J254" s="174"/>
      <c r="K254" s="177"/>
      <c r="L254" s="126"/>
      <c r="M254" s="126"/>
      <c r="N254" s="264"/>
      <c r="O254" s="112"/>
      <c r="P254" s="112"/>
      <c r="Q254" s="113"/>
    </row>
    <row r="255" spans="1:18" s="114" customFormat="1">
      <c r="A255" s="368"/>
      <c r="B255" s="263"/>
      <c r="C255" s="174"/>
      <c r="D255" s="151"/>
      <c r="E255" s="120"/>
      <c r="F255" s="118"/>
      <c r="G255" s="120"/>
      <c r="H255" s="126"/>
      <c r="I255" s="126"/>
      <c r="J255" s="174"/>
      <c r="K255" s="177"/>
      <c r="L255" s="126"/>
      <c r="M255" s="126"/>
      <c r="N255" s="264"/>
      <c r="O255" s="112"/>
      <c r="P255" s="112"/>
      <c r="Q255" s="113"/>
    </row>
    <row r="256" spans="1:18" s="114" customFormat="1">
      <c r="A256" s="368"/>
      <c r="B256" s="263"/>
      <c r="C256" s="174"/>
      <c r="D256" s="151"/>
      <c r="E256" s="120"/>
      <c r="F256" s="118"/>
      <c r="G256" s="120"/>
      <c r="H256" s="126"/>
      <c r="I256" s="126"/>
      <c r="J256" s="174"/>
      <c r="K256" s="177"/>
      <c r="L256" s="126"/>
      <c r="M256" s="126"/>
      <c r="N256" s="264"/>
      <c r="O256" s="112"/>
      <c r="P256" s="112"/>
      <c r="Q256" s="113"/>
    </row>
    <row r="257" spans="1:17" s="114" customFormat="1">
      <c r="A257" s="368"/>
      <c r="B257" s="263"/>
      <c r="C257" s="174"/>
      <c r="D257" s="151"/>
      <c r="E257" s="120"/>
      <c r="F257" s="118"/>
      <c r="G257" s="120"/>
      <c r="H257" s="126"/>
      <c r="I257" s="126"/>
      <c r="J257" s="174"/>
      <c r="K257" s="177"/>
      <c r="L257" s="126"/>
      <c r="M257" s="126"/>
      <c r="N257" s="264"/>
      <c r="O257" s="112"/>
      <c r="P257" s="112"/>
      <c r="Q257" s="113"/>
    </row>
    <row r="258" spans="1:17" s="114" customFormat="1">
      <c r="A258" s="368"/>
      <c r="B258" s="263"/>
      <c r="C258" s="174"/>
      <c r="D258" s="151"/>
      <c r="E258" s="120"/>
      <c r="F258" s="118"/>
      <c r="G258" s="120"/>
      <c r="H258" s="126"/>
      <c r="I258" s="126"/>
      <c r="J258" s="174"/>
      <c r="K258" s="177"/>
      <c r="L258" s="126"/>
      <c r="M258" s="126"/>
      <c r="N258" s="264"/>
      <c r="O258" s="112"/>
      <c r="P258" s="112"/>
      <c r="Q258" s="113"/>
    </row>
    <row r="259" spans="1:17" s="114" customFormat="1">
      <c r="A259" s="368"/>
      <c r="B259" s="263"/>
      <c r="C259" s="174"/>
      <c r="D259" s="151"/>
      <c r="E259" s="120"/>
      <c r="F259" s="118"/>
      <c r="G259" s="120"/>
      <c r="H259" s="126"/>
      <c r="I259" s="126"/>
      <c r="J259" s="174"/>
      <c r="K259" s="177"/>
      <c r="L259" s="126"/>
      <c r="M259" s="126"/>
      <c r="N259" s="264"/>
      <c r="O259" s="112"/>
      <c r="P259" s="112"/>
      <c r="Q259" s="113"/>
    </row>
    <row r="260" spans="1:17" s="114" customFormat="1">
      <c r="A260" s="368"/>
      <c r="B260" s="263"/>
      <c r="C260" s="174"/>
      <c r="D260" s="151"/>
      <c r="E260" s="120"/>
      <c r="F260" s="118"/>
      <c r="G260" s="120"/>
      <c r="H260" s="126"/>
      <c r="I260" s="126"/>
      <c r="J260" s="174"/>
      <c r="K260" s="177"/>
      <c r="L260" s="126"/>
      <c r="M260" s="126"/>
      <c r="N260" s="264"/>
      <c r="O260" s="112"/>
      <c r="P260" s="112"/>
      <c r="Q260" s="113"/>
    </row>
    <row r="261" spans="1:17" s="114" customFormat="1">
      <c r="A261" s="368"/>
      <c r="B261" s="263"/>
      <c r="C261" s="174"/>
      <c r="D261" s="151"/>
      <c r="E261" s="120"/>
      <c r="F261" s="118"/>
      <c r="G261" s="120"/>
      <c r="H261" s="126"/>
      <c r="I261" s="126"/>
      <c r="J261" s="174"/>
      <c r="K261" s="177"/>
      <c r="L261" s="126"/>
      <c r="M261" s="126"/>
      <c r="N261" s="264"/>
      <c r="O261" s="112"/>
      <c r="P261" s="112"/>
      <c r="Q261" s="113"/>
    </row>
    <row r="262" spans="1:17" s="114" customFormat="1">
      <c r="A262" s="368"/>
      <c r="B262" s="263"/>
      <c r="C262" s="174"/>
      <c r="D262" s="151"/>
      <c r="E262" s="120"/>
      <c r="F262" s="118"/>
      <c r="G262" s="120"/>
      <c r="H262" s="126"/>
      <c r="I262" s="126"/>
      <c r="J262" s="174"/>
      <c r="K262" s="177"/>
      <c r="L262" s="126"/>
      <c r="M262" s="126"/>
      <c r="N262" s="264"/>
      <c r="O262" s="112"/>
      <c r="P262" s="112"/>
      <c r="Q262" s="113"/>
    </row>
    <row r="263" spans="1:17" s="114" customFormat="1">
      <c r="A263" s="368"/>
      <c r="B263" s="263"/>
      <c r="C263" s="174"/>
      <c r="D263" s="151"/>
      <c r="E263" s="120"/>
      <c r="F263" s="118"/>
      <c r="G263" s="120"/>
      <c r="H263" s="126"/>
      <c r="I263" s="126"/>
      <c r="J263" s="174"/>
      <c r="K263" s="177"/>
      <c r="L263" s="126"/>
      <c r="M263" s="126"/>
      <c r="N263" s="264"/>
      <c r="O263" s="112"/>
      <c r="P263" s="112"/>
      <c r="Q263" s="113"/>
    </row>
    <row r="264" spans="1:17" s="114" customFormat="1">
      <c r="A264" s="368"/>
      <c r="B264" s="263"/>
      <c r="C264" s="174"/>
      <c r="D264" s="151"/>
      <c r="E264" s="120"/>
      <c r="F264" s="118"/>
      <c r="G264" s="120"/>
      <c r="H264" s="126"/>
      <c r="I264" s="126"/>
      <c r="J264" s="174"/>
      <c r="K264" s="177"/>
      <c r="L264" s="126"/>
      <c r="M264" s="126"/>
      <c r="N264" s="264"/>
      <c r="O264" s="112"/>
      <c r="P264" s="112"/>
      <c r="Q264" s="113"/>
    </row>
    <row r="265" spans="1:17" s="67" customFormat="1" ht="25.5" customHeight="1">
      <c r="A265" s="538" t="s">
        <v>921</v>
      </c>
      <c r="B265" s="539"/>
      <c r="C265" s="539"/>
      <c r="D265" s="539"/>
      <c r="E265" s="540"/>
      <c r="F265" s="425"/>
      <c r="G265" s="426"/>
      <c r="H265" s="425"/>
      <c r="I265" s="425"/>
      <c r="J265" s="425"/>
      <c r="K265" s="425"/>
      <c r="L265" s="426"/>
      <c r="M265" s="426"/>
      <c r="N265" s="342"/>
      <c r="O265" s="116"/>
      <c r="P265" s="116"/>
    </row>
    <row r="266" spans="1:17" s="114" customFormat="1" ht="105">
      <c r="A266" s="105">
        <v>1</v>
      </c>
      <c r="B266" s="106" t="s">
        <v>42</v>
      </c>
      <c r="C266" s="110">
        <v>44743</v>
      </c>
      <c r="D266" s="107" t="s">
        <v>906</v>
      </c>
      <c r="E266" s="108" t="s">
        <v>1046</v>
      </c>
      <c r="F266" s="105">
        <v>27000</v>
      </c>
      <c r="G266" s="108" t="s">
        <v>1047</v>
      </c>
      <c r="H266" s="109">
        <v>27000</v>
      </c>
      <c r="I266" s="115" t="s">
        <v>959</v>
      </c>
      <c r="J266" s="110">
        <v>44834</v>
      </c>
      <c r="K266" s="122" t="s">
        <v>61</v>
      </c>
      <c r="L266" s="109"/>
      <c r="M266" s="109"/>
      <c r="N266" s="317"/>
      <c r="O266" s="112"/>
      <c r="P266" s="112"/>
      <c r="Q266" s="113"/>
    </row>
    <row r="267" spans="1:17" s="114" customFormat="1" ht="105">
      <c r="A267" s="105">
        <v>2</v>
      </c>
      <c r="B267" s="106" t="s">
        <v>42</v>
      </c>
      <c r="C267" s="110">
        <v>44743</v>
      </c>
      <c r="D267" s="107" t="s">
        <v>915</v>
      </c>
      <c r="E267" s="108" t="s">
        <v>1024</v>
      </c>
      <c r="F267" s="105">
        <f t="shared" ref="F267:F304" si="33">3*9000</f>
        <v>27000</v>
      </c>
      <c r="G267" s="108" t="s">
        <v>699</v>
      </c>
      <c r="H267" s="109">
        <f>F267</f>
        <v>27000</v>
      </c>
      <c r="I267" s="115" t="s">
        <v>959</v>
      </c>
      <c r="J267" s="110">
        <v>44834</v>
      </c>
      <c r="K267" s="122" t="s">
        <v>38</v>
      </c>
      <c r="L267" s="109"/>
      <c r="M267" s="109"/>
      <c r="N267" s="111"/>
      <c r="O267" s="112"/>
      <c r="P267" s="112"/>
      <c r="Q267" s="113" t="s">
        <v>349</v>
      </c>
    </row>
    <row r="268" spans="1:17" s="114" customFormat="1" ht="84">
      <c r="A268" s="105">
        <v>3</v>
      </c>
      <c r="B268" s="106" t="s">
        <v>42</v>
      </c>
      <c r="C268" s="110">
        <v>44743</v>
      </c>
      <c r="D268" s="107" t="s">
        <v>1022</v>
      </c>
      <c r="E268" s="108" t="s">
        <v>1023</v>
      </c>
      <c r="F268" s="105">
        <f t="shared" si="33"/>
        <v>27000</v>
      </c>
      <c r="G268" s="108" t="s">
        <v>211</v>
      </c>
      <c r="H268" s="109">
        <f>F268</f>
        <v>27000</v>
      </c>
      <c r="I268" s="115" t="s">
        <v>959</v>
      </c>
      <c r="J268" s="110">
        <v>44834</v>
      </c>
      <c r="K268" s="115" t="s">
        <v>38</v>
      </c>
      <c r="L268" s="109"/>
      <c r="M268" s="109"/>
      <c r="N268" s="111"/>
      <c r="O268" s="112"/>
      <c r="P268" s="112"/>
      <c r="Q268" s="113"/>
    </row>
    <row r="269" spans="1:17" s="114" customFormat="1" ht="105">
      <c r="A269" s="105">
        <v>4</v>
      </c>
      <c r="B269" s="106" t="s">
        <v>42</v>
      </c>
      <c r="C269" s="110">
        <v>44743</v>
      </c>
      <c r="D269" s="107" t="s">
        <v>1025</v>
      </c>
      <c r="E269" s="108" t="s">
        <v>1026</v>
      </c>
      <c r="F269" s="105">
        <f t="shared" si="33"/>
        <v>27000</v>
      </c>
      <c r="G269" s="108" t="s">
        <v>695</v>
      </c>
      <c r="H269" s="109">
        <f t="shared" ref="H269" si="34">F269</f>
        <v>27000</v>
      </c>
      <c r="I269" s="115" t="s">
        <v>959</v>
      </c>
      <c r="J269" s="110">
        <v>44834</v>
      </c>
      <c r="K269" s="115" t="s">
        <v>38</v>
      </c>
      <c r="L269" s="109"/>
      <c r="M269" s="109"/>
      <c r="N269" s="111"/>
      <c r="O269" s="112"/>
      <c r="P269" s="112"/>
      <c r="Q269" s="113"/>
    </row>
    <row r="270" spans="1:17" s="114" customFormat="1" ht="105">
      <c r="A270" s="105">
        <v>5</v>
      </c>
      <c r="B270" s="106" t="s">
        <v>42</v>
      </c>
      <c r="C270" s="110">
        <v>44743</v>
      </c>
      <c r="D270" s="107" t="s">
        <v>1027</v>
      </c>
      <c r="E270" s="108" t="s">
        <v>1028</v>
      </c>
      <c r="F270" s="105">
        <f t="shared" si="33"/>
        <v>27000</v>
      </c>
      <c r="G270" s="108" t="s">
        <v>204</v>
      </c>
      <c r="H270" s="109">
        <f t="shared" ref="H270:H271" si="35">F270</f>
        <v>27000</v>
      </c>
      <c r="I270" s="115" t="s">
        <v>959</v>
      </c>
      <c r="J270" s="110">
        <v>44834</v>
      </c>
      <c r="K270" s="115" t="s">
        <v>38</v>
      </c>
      <c r="L270" s="109"/>
      <c r="M270" s="109"/>
      <c r="N270" s="111"/>
      <c r="O270" s="112"/>
      <c r="P270" s="112"/>
      <c r="Q270" s="113"/>
    </row>
    <row r="271" spans="1:17" s="114" customFormat="1" ht="105">
      <c r="A271" s="105">
        <v>6</v>
      </c>
      <c r="B271" s="106" t="s">
        <v>42</v>
      </c>
      <c r="C271" s="110">
        <v>44743</v>
      </c>
      <c r="D271" s="107" t="s">
        <v>1029</v>
      </c>
      <c r="E271" s="108" t="s">
        <v>1030</v>
      </c>
      <c r="F271" s="105">
        <f t="shared" si="33"/>
        <v>27000</v>
      </c>
      <c r="G271" s="108" t="s">
        <v>1110</v>
      </c>
      <c r="H271" s="109">
        <f t="shared" si="35"/>
        <v>27000</v>
      </c>
      <c r="I271" s="115" t="s">
        <v>959</v>
      </c>
      <c r="J271" s="110">
        <v>44834</v>
      </c>
      <c r="K271" s="115" t="s">
        <v>38</v>
      </c>
      <c r="L271" s="109"/>
      <c r="M271" s="109"/>
      <c r="N271" s="111"/>
      <c r="O271" s="112"/>
      <c r="P271" s="112"/>
      <c r="Q271" s="113"/>
    </row>
    <row r="272" spans="1:17" s="114" customFormat="1" ht="105">
      <c r="A272" s="105">
        <v>7</v>
      </c>
      <c r="B272" s="106" t="s">
        <v>42</v>
      </c>
      <c r="C272" s="110">
        <v>44743</v>
      </c>
      <c r="D272" s="107" t="s">
        <v>1031</v>
      </c>
      <c r="E272" s="108" t="s">
        <v>1032</v>
      </c>
      <c r="F272" s="105">
        <v>27000</v>
      </c>
      <c r="G272" s="108" t="s">
        <v>206</v>
      </c>
      <c r="H272" s="109">
        <f>F272</f>
        <v>27000</v>
      </c>
      <c r="I272" s="115" t="s">
        <v>959</v>
      </c>
      <c r="J272" s="110">
        <v>44834</v>
      </c>
      <c r="K272" s="115" t="s">
        <v>38</v>
      </c>
      <c r="L272" s="109"/>
      <c r="M272" s="109"/>
      <c r="N272" s="111"/>
      <c r="O272" s="112"/>
      <c r="P272" s="112"/>
      <c r="Q272" s="113"/>
    </row>
    <row r="273" spans="1:17" s="114" customFormat="1" ht="105">
      <c r="A273" s="105">
        <v>8</v>
      </c>
      <c r="B273" s="106" t="s">
        <v>42</v>
      </c>
      <c r="C273" s="110">
        <v>44743</v>
      </c>
      <c r="D273" s="107" t="s">
        <v>1033</v>
      </c>
      <c r="E273" s="108" t="s">
        <v>1034</v>
      </c>
      <c r="F273" s="105">
        <v>27000</v>
      </c>
      <c r="G273" s="108" t="s">
        <v>209</v>
      </c>
      <c r="H273" s="109">
        <f t="shared" ref="H273:H274" si="36">F273</f>
        <v>27000</v>
      </c>
      <c r="I273" s="115" t="s">
        <v>959</v>
      </c>
      <c r="J273" s="110">
        <v>44834</v>
      </c>
      <c r="K273" s="115" t="s">
        <v>38</v>
      </c>
      <c r="L273" s="109"/>
      <c r="M273" s="109"/>
      <c r="N273" s="111"/>
      <c r="O273" s="112"/>
      <c r="P273" s="112"/>
      <c r="Q273" s="113"/>
    </row>
    <row r="274" spans="1:17" s="114" customFormat="1" ht="105">
      <c r="A274" s="105">
        <v>9</v>
      </c>
      <c r="B274" s="106" t="s">
        <v>42</v>
      </c>
      <c r="C274" s="110">
        <v>44743</v>
      </c>
      <c r="D274" s="107" t="s">
        <v>1035</v>
      </c>
      <c r="E274" s="108" t="s">
        <v>1108</v>
      </c>
      <c r="F274" s="105">
        <f>3*9000</f>
        <v>27000</v>
      </c>
      <c r="G274" s="108" t="s">
        <v>1109</v>
      </c>
      <c r="H274" s="109">
        <f t="shared" si="36"/>
        <v>27000</v>
      </c>
      <c r="I274" s="115" t="s">
        <v>959</v>
      </c>
      <c r="J274" s="110">
        <v>44834</v>
      </c>
      <c r="K274" s="115" t="s">
        <v>38</v>
      </c>
      <c r="L274" s="109"/>
      <c r="M274" s="109"/>
      <c r="N274" s="317"/>
      <c r="O274" s="112"/>
      <c r="P274" s="112"/>
      <c r="Q274" s="113"/>
    </row>
    <row r="275" spans="1:17" s="114" customFormat="1" ht="84">
      <c r="A275" s="105">
        <v>10</v>
      </c>
      <c r="B275" s="106" t="s">
        <v>42</v>
      </c>
      <c r="C275" s="110">
        <v>44743</v>
      </c>
      <c r="D275" s="107" t="s">
        <v>994</v>
      </c>
      <c r="E275" s="108" t="s">
        <v>995</v>
      </c>
      <c r="F275" s="105">
        <f t="shared" si="33"/>
        <v>27000</v>
      </c>
      <c r="G275" s="108" t="s">
        <v>996</v>
      </c>
      <c r="H275" s="109">
        <f t="shared" ref="H275:H317" si="37">F275</f>
        <v>27000</v>
      </c>
      <c r="I275" s="109" t="s">
        <v>34</v>
      </c>
      <c r="J275" s="110">
        <v>44834</v>
      </c>
      <c r="K275" s="109" t="s">
        <v>26</v>
      </c>
      <c r="L275" s="109"/>
      <c r="M275" s="109"/>
      <c r="N275" s="111"/>
      <c r="O275" s="112"/>
      <c r="P275" s="112"/>
      <c r="Q275" s="113"/>
    </row>
    <row r="276" spans="1:17" s="114" customFormat="1" ht="84">
      <c r="A276" s="105">
        <v>11</v>
      </c>
      <c r="B276" s="106" t="s">
        <v>42</v>
      </c>
      <c r="C276" s="110">
        <v>44743</v>
      </c>
      <c r="D276" s="107" t="s">
        <v>997</v>
      </c>
      <c r="E276" s="108" t="s">
        <v>998</v>
      </c>
      <c r="F276" s="105">
        <f t="shared" si="33"/>
        <v>27000</v>
      </c>
      <c r="G276" s="108" t="s">
        <v>243</v>
      </c>
      <c r="H276" s="109">
        <f>F276</f>
        <v>27000</v>
      </c>
      <c r="I276" s="109" t="s">
        <v>34</v>
      </c>
      <c r="J276" s="110">
        <v>44834</v>
      </c>
      <c r="K276" s="109" t="s">
        <v>26</v>
      </c>
      <c r="L276" s="109"/>
      <c r="M276" s="109"/>
      <c r="N276" s="111"/>
      <c r="O276" s="112"/>
      <c r="P276" s="112"/>
      <c r="Q276" s="113"/>
    </row>
    <row r="277" spans="1:17" s="114" customFormat="1" ht="105">
      <c r="A277" s="105">
        <v>12</v>
      </c>
      <c r="B277" s="106" t="s">
        <v>42</v>
      </c>
      <c r="C277" s="110">
        <v>44743</v>
      </c>
      <c r="D277" s="107" t="s">
        <v>990</v>
      </c>
      <c r="E277" s="108" t="s">
        <v>991</v>
      </c>
      <c r="F277" s="105">
        <f t="shared" si="33"/>
        <v>27000</v>
      </c>
      <c r="G277" s="108" t="s">
        <v>251</v>
      </c>
      <c r="H277" s="109">
        <f t="shared" si="37"/>
        <v>27000</v>
      </c>
      <c r="I277" s="109" t="s">
        <v>34</v>
      </c>
      <c r="J277" s="110">
        <v>44834</v>
      </c>
      <c r="K277" s="109" t="s">
        <v>26</v>
      </c>
      <c r="L277" s="109"/>
      <c r="M277" s="109"/>
      <c r="N277" s="111"/>
      <c r="O277" s="112"/>
      <c r="P277" s="112"/>
      <c r="Q277" s="113"/>
    </row>
    <row r="278" spans="1:17" s="114" customFormat="1" ht="105">
      <c r="A278" s="105">
        <v>13</v>
      </c>
      <c r="B278" s="106" t="s">
        <v>42</v>
      </c>
      <c r="C278" s="110">
        <v>44743</v>
      </c>
      <c r="D278" s="107" t="s">
        <v>992</v>
      </c>
      <c r="E278" s="108" t="s">
        <v>993</v>
      </c>
      <c r="F278" s="105">
        <f t="shared" si="33"/>
        <v>27000</v>
      </c>
      <c r="G278" s="108" t="s">
        <v>484</v>
      </c>
      <c r="H278" s="109">
        <f>F278</f>
        <v>27000</v>
      </c>
      <c r="I278" s="109" t="s">
        <v>34</v>
      </c>
      <c r="J278" s="110">
        <v>44834</v>
      </c>
      <c r="K278" s="109" t="s">
        <v>26</v>
      </c>
      <c r="L278" s="109"/>
      <c r="M278" s="109"/>
      <c r="N278" s="111"/>
      <c r="O278" s="112"/>
      <c r="P278" s="112"/>
      <c r="Q278" s="113"/>
    </row>
    <row r="279" spans="1:17" s="114" customFormat="1" ht="105">
      <c r="A279" s="105">
        <v>14</v>
      </c>
      <c r="B279" s="106" t="s">
        <v>42</v>
      </c>
      <c r="C279" s="110">
        <v>44743</v>
      </c>
      <c r="D279" s="107" t="s">
        <v>999</v>
      </c>
      <c r="E279" s="108" t="s">
        <v>1000</v>
      </c>
      <c r="F279" s="105">
        <f t="shared" si="33"/>
        <v>27000</v>
      </c>
      <c r="G279" s="108" t="s">
        <v>240</v>
      </c>
      <c r="H279" s="109">
        <f t="shared" ref="H279:H291" si="38">F279</f>
        <v>27000</v>
      </c>
      <c r="I279" s="109" t="s">
        <v>34</v>
      </c>
      <c r="J279" s="110">
        <v>44834</v>
      </c>
      <c r="K279" s="109" t="s">
        <v>26</v>
      </c>
      <c r="L279" s="109"/>
      <c r="M279" s="109"/>
      <c r="N279" s="111"/>
      <c r="O279" s="112"/>
      <c r="P279" s="112"/>
      <c r="Q279" s="113"/>
    </row>
    <row r="280" spans="1:17" s="114" customFormat="1" ht="105">
      <c r="A280" s="105">
        <v>15</v>
      </c>
      <c r="B280" s="106" t="s">
        <v>42</v>
      </c>
      <c r="C280" s="110">
        <v>44743</v>
      </c>
      <c r="D280" s="107" t="s">
        <v>1001</v>
      </c>
      <c r="E280" s="108" t="s">
        <v>1002</v>
      </c>
      <c r="F280" s="105">
        <f t="shared" si="33"/>
        <v>27000</v>
      </c>
      <c r="G280" s="108" t="s">
        <v>245</v>
      </c>
      <c r="H280" s="109">
        <f t="shared" si="38"/>
        <v>27000</v>
      </c>
      <c r="I280" s="109" t="s">
        <v>34</v>
      </c>
      <c r="J280" s="110">
        <v>44834</v>
      </c>
      <c r="K280" s="109" t="s">
        <v>26</v>
      </c>
      <c r="L280" s="109"/>
      <c r="M280" s="109"/>
      <c r="N280" s="111"/>
      <c r="O280" s="112"/>
      <c r="P280" s="112"/>
      <c r="Q280" s="113"/>
    </row>
    <row r="281" spans="1:17" s="114" customFormat="1" ht="84">
      <c r="A281" s="105">
        <v>16</v>
      </c>
      <c r="B281" s="106" t="s">
        <v>42</v>
      </c>
      <c r="C281" s="110">
        <v>44743</v>
      </c>
      <c r="D281" s="107" t="s">
        <v>1003</v>
      </c>
      <c r="E281" s="108" t="s">
        <v>1005</v>
      </c>
      <c r="F281" s="105">
        <f t="shared" si="33"/>
        <v>27000</v>
      </c>
      <c r="G281" s="108" t="s">
        <v>556</v>
      </c>
      <c r="H281" s="109">
        <f t="shared" si="38"/>
        <v>27000</v>
      </c>
      <c r="I281" s="109" t="s">
        <v>34</v>
      </c>
      <c r="J281" s="110">
        <v>44834</v>
      </c>
      <c r="K281" s="109" t="s">
        <v>26</v>
      </c>
      <c r="L281" s="109"/>
      <c r="M281" s="109"/>
      <c r="N281" s="111"/>
      <c r="O281" s="295"/>
      <c r="P281" s="112"/>
      <c r="Q281" s="113"/>
    </row>
    <row r="282" spans="1:17" s="114" customFormat="1" ht="84">
      <c r="A282" s="105">
        <v>17</v>
      </c>
      <c r="B282" s="106" t="s">
        <v>42</v>
      </c>
      <c r="C282" s="110">
        <v>44743</v>
      </c>
      <c r="D282" s="107" t="s">
        <v>1004</v>
      </c>
      <c r="E282" s="108" t="s">
        <v>1006</v>
      </c>
      <c r="F282" s="105">
        <f t="shared" si="33"/>
        <v>27000</v>
      </c>
      <c r="G282" s="108" t="s">
        <v>562</v>
      </c>
      <c r="H282" s="109">
        <f t="shared" ref="H282:H283" si="39">F282</f>
        <v>27000</v>
      </c>
      <c r="I282" s="109" t="s">
        <v>34</v>
      </c>
      <c r="J282" s="110">
        <v>44834</v>
      </c>
      <c r="K282" s="109" t="s">
        <v>26</v>
      </c>
      <c r="L282" s="109"/>
      <c r="M282" s="109"/>
      <c r="N282" s="111"/>
      <c r="O282" s="295"/>
      <c r="P282" s="112"/>
      <c r="Q282" s="113"/>
    </row>
    <row r="283" spans="1:17" s="114" customFormat="1" ht="84">
      <c r="A283" s="105">
        <v>18</v>
      </c>
      <c r="B283" s="336" t="s">
        <v>42</v>
      </c>
      <c r="C283" s="110">
        <v>44743</v>
      </c>
      <c r="D283" s="107" t="s">
        <v>1055</v>
      </c>
      <c r="E283" s="157" t="s">
        <v>1056</v>
      </c>
      <c r="F283" s="105">
        <f t="shared" ref="F283:F291" si="40">3*9000</f>
        <v>27000</v>
      </c>
      <c r="G283" s="157" t="s">
        <v>561</v>
      </c>
      <c r="H283" s="158">
        <f t="shared" si="39"/>
        <v>27000</v>
      </c>
      <c r="I283" s="158" t="s">
        <v>34</v>
      </c>
      <c r="J283" s="110">
        <v>44834</v>
      </c>
      <c r="K283" s="158" t="s">
        <v>26</v>
      </c>
      <c r="L283" s="158"/>
      <c r="M283" s="158"/>
      <c r="N283" s="337"/>
      <c r="O283" s="295"/>
      <c r="P283" s="112"/>
      <c r="Q283" s="113"/>
    </row>
    <row r="284" spans="1:17" s="114" customFormat="1" ht="105">
      <c r="A284" s="105">
        <v>19</v>
      </c>
      <c r="B284" s="106" t="s">
        <v>42</v>
      </c>
      <c r="C284" s="110">
        <v>44743</v>
      </c>
      <c r="D284" s="107" t="s">
        <v>1007</v>
      </c>
      <c r="E284" s="108" t="s">
        <v>1008</v>
      </c>
      <c r="F284" s="105">
        <f t="shared" si="40"/>
        <v>27000</v>
      </c>
      <c r="G284" s="108" t="s">
        <v>247</v>
      </c>
      <c r="H284" s="109">
        <f t="shared" si="38"/>
        <v>27000</v>
      </c>
      <c r="I284" s="109" t="s">
        <v>34</v>
      </c>
      <c r="J284" s="110">
        <v>44834</v>
      </c>
      <c r="K284" s="109" t="s">
        <v>26</v>
      </c>
      <c r="L284" s="109"/>
      <c r="M284" s="109"/>
      <c r="N284" s="111"/>
      <c r="O284" s="112"/>
      <c r="P284" s="112"/>
      <c r="Q284" s="113"/>
    </row>
    <row r="285" spans="1:17" s="114" customFormat="1" ht="84">
      <c r="A285" s="105">
        <v>20</v>
      </c>
      <c r="B285" s="106" t="s">
        <v>42</v>
      </c>
      <c r="C285" s="110">
        <v>44743</v>
      </c>
      <c r="D285" s="107" t="s">
        <v>1009</v>
      </c>
      <c r="E285" s="108" t="s">
        <v>1010</v>
      </c>
      <c r="F285" s="105">
        <f t="shared" si="40"/>
        <v>27000</v>
      </c>
      <c r="G285" s="108" t="s">
        <v>246</v>
      </c>
      <c r="H285" s="109">
        <f t="shared" si="38"/>
        <v>27000</v>
      </c>
      <c r="I285" s="109" t="s">
        <v>34</v>
      </c>
      <c r="J285" s="110">
        <v>44834</v>
      </c>
      <c r="K285" s="109" t="s">
        <v>26</v>
      </c>
      <c r="L285" s="109"/>
      <c r="M285" s="109"/>
      <c r="N285" s="111"/>
      <c r="O285" s="112"/>
      <c r="P285" s="112"/>
      <c r="Q285" s="113"/>
    </row>
    <row r="286" spans="1:17" s="114" customFormat="1" ht="105">
      <c r="A286" s="105">
        <v>21</v>
      </c>
      <c r="B286" s="106" t="s">
        <v>42</v>
      </c>
      <c r="C286" s="110">
        <v>44743</v>
      </c>
      <c r="D286" s="107" t="s">
        <v>1011</v>
      </c>
      <c r="E286" s="108" t="s">
        <v>1107</v>
      </c>
      <c r="F286" s="105">
        <f t="shared" si="40"/>
        <v>27000</v>
      </c>
      <c r="G286" s="108" t="s">
        <v>249</v>
      </c>
      <c r="H286" s="109">
        <f t="shared" si="38"/>
        <v>27000</v>
      </c>
      <c r="I286" s="109" t="s">
        <v>34</v>
      </c>
      <c r="J286" s="110">
        <v>44834</v>
      </c>
      <c r="K286" s="109" t="s">
        <v>26</v>
      </c>
      <c r="L286" s="109"/>
      <c r="M286" s="109"/>
      <c r="N286" s="111"/>
      <c r="O286" s="112"/>
      <c r="P286" s="112"/>
      <c r="Q286" s="113"/>
    </row>
    <row r="287" spans="1:17" s="114" customFormat="1" ht="126">
      <c r="A287" s="105">
        <v>22</v>
      </c>
      <c r="B287" s="106" t="s">
        <v>42</v>
      </c>
      <c r="C287" s="110">
        <v>44743</v>
      </c>
      <c r="D287" s="107" t="s">
        <v>1012</v>
      </c>
      <c r="E287" s="108" t="s">
        <v>1013</v>
      </c>
      <c r="F287" s="105">
        <f t="shared" si="40"/>
        <v>27000</v>
      </c>
      <c r="G287" s="108" t="s">
        <v>244</v>
      </c>
      <c r="H287" s="109">
        <f t="shared" si="38"/>
        <v>27000</v>
      </c>
      <c r="I287" s="109" t="s">
        <v>34</v>
      </c>
      <c r="J287" s="110">
        <v>44834</v>
      </c>
      <c r="K287" s="109" t="s">
        <v>26</v>
      </c>
      <c r="L287" s="109"/>
      <c r="M287" s="109"/>
      <c r="N287" s="111"/>
      <c r="O287" s="112"/>
      <c r="P287" s="112"/>
      <c r="Q287" s="113"/>
    </row>
    <row r="288" spans="1:17" s="114" customFormat="1" ht="105">
      <c r="A288" s="105">
        <v>23</v>
      </c>
      <c r="B288" s="106" t="s">
        <v>42</v>
      </c>
      <c r="C288" s="110">
        <v>44743</v>
      </c>
      <c r="D288" s="107" t="s">
        <v>1014</v>
      </c>
      <c r="E288" s="108" t="s">
        <v>1015</v>
      </c>
      <c r="F288" s="105">
        <f t="shared" si="40"/>
        <v>27000</v>
      </c>
      <c r="G288" s="108" t="s">
        <v>253</v>
      </c>
      <c r="H288" s="109">
        <f t="shared" si="38"/>
        <v>27000</v>
      </c>
      <c r="I288" s="109" t="s">
        <v>34</v>
      </c>
      <c r="J288" s="110">
        <v>44834</v>
      </c>
      <c r="K288" s="109" t="s">
        <v>26</v>
      </c>
      <c r="L288" s="109"/>
      <c r="M288" s="109"/>
      <c r="N288" s="111"/>
      <c r="O288" s="112"/>
      <c r="P288" s="112"/>
      <c r="Q288" s="113"/>
    </row>
    <row r="289" spans="1:17" s="114" customFormat="1" ht="105">
      <c r="A289" s="105">
        <v>24</v>
      </c>
      <c r="B289" s="106" t="s">
        <v>42</v>
      </c>
      <c r="C289" s="110">
        <v>44743</v>
      </c>
      <c r="D289" s="107" t="s">
        <v>1016</v>
      </c>
      <c r="E289" s="108" t="s">
        <v>1017</v>
      </c>
      <c r="F289" s="105">
        <f t="shared" si="40"/>
        <v>27000</v>
      </c>
      <c r="G289" s="108" t="s">
        <v>742</v>
      </c>
      <c r="H289" s="109">
        <f t="shared" si="38"/>
        <v>27000</v>
      </c>
      <c r="I289" s="122" t="s">
        <v>679</v>
      </c>
      <c r="J289" s="110">
        <v>44834</v>
      </c>
      <c r="K289" s="122" t="s">
        <v>26</v>
      </c>
      <c r="L289" s="110"/>
      <c r="M289" s="110"/>
      <c r="N289" s="178"/>
      <c r="O289" s="112"/>
      <c r="P289" s="112"/>
      <c r="Q289" s="113"/>
    </row>
    <row r="290" spans="1:17" s="114" customFormat="1" ht="126">
      <c r="A290" s="105">
        <v>25</v>
      </c>
      <c r="B290" s="106" t="s">
        <v>42</v>
      </c>
      <c r="C290" s="110">
        <v>44743</v>
      </c>
      <c r="D290" s="107" t="s">
        <v>1018</v>
      </c>
      <c r="E290" s="108" t="s">
        <v>1019</v>
      </c>
      <c r="F290" s="105">
        <f t="shared" si="40"/>
        <v>27000</v>
      </c>
      <c r="G290" s="108" t="s">
        <v>882</v>
      </c>
      <c r="H290" s="109">
        <f t="shared" si="38"/>
        <v>27000</v>
      </c>
      <c r="I290" s="109" t="s">
        <v>34</v>
      </c>
      <c r="J290" s="110">
        <v>44834</v>
      </c>
      <c r="K290" s="109" t="s">
        <v>26</v>
      </c>
      <c r="L290" s="109"/>
      <c r="M290" s="109"/>
      <c r="N290" s="111"/>
      <c r="O290" s="112"/>
      <c r="P290" s="112"/>
      <c r="Q290" s="113"/>
    </row>
    <row r="291" spans="1:17" s="114" customFormat="1" ht="105">
      <c r="A291" s="105">
        <v>26</v>
      </c>
      <c r="B291" s="106" t="s">
        <v>42</v>
      </c>
      <c r="C291" s="110">
        <v>44743</v>
      </c>
      <c r="D291" s="107" t="s">
        <v>1020</v>
      </c>
      <c r="E291" s="108" t="s">
        <v>1021</v>
      </c>
      <c r="F291" s="105">
        <f t="shared" si="40"/>
        <v>27000</v>
      </c>
      <c r="G291" s="108" t="s">
        <v>250</v>
      </c>
      <c r="H291" s="109">
        <f t="shared" si="38"/>
        <v>27000</v>
      </c>
      <c r="I291" s="109" t="s">
        <v>34</v>
      </c>
      <c r="J291" s="110">
        <v>44834</v>
      </c>
      <c r="K291" s="109" t="s">
        <v>26</v>
      </c>
      <c r="L291" s="109"/>
      <c r="M291" s="109"/>
      <c r="N291" s="111"/>
      <c r="O291" s="112"/>
      <c r="P291" s="112"/>
      <c r="Q291" s="113"/>
    </row>
    <row r="292" spans="1:17" s="114" customFormat="1" ht="105">
      <c r="A292" s="105">
        <v>27</v>
      </c>
      <c r="B292" s="106" t="s">
        <v>42</v>
      </c>
      <c r="C292" s="110">
        <v>44743</v>
      </c>
      <c r="D292" s="107" t="s">
        <v>988</v>
      </c>
      <c r="E292" s="108" t="s">
        <v>989</v>
      </c>
      <c r="F292" s="105">
        <f t="shared" si="33"/>
        <v>27000</v>
      </c>
      <c r="G292" s="108" t="s">
        <v>603</v>
      </c>
      <c r="H292" s="109">
        <f t="shared" si="37"/>
        <v>27000</v>
      </c>
      <c r="I292" s="109" t="s">
        <v>34</v>
      </c>
      <c r="J292" s="110">
        <v>44834</v>
      </c>
      <c r="K292" s="109" t="s">
        <v>26</v>
      </c>
      <c r="L292" s="109"/>
      <c r="M292" s="109"/>
      <c r="N292" s="111"/>
      <c r="O292" s="112"/>
      <c r="P292" s="112"/>
      <c r="Q292" s="113"/>
    </row>
    <row r="293" spans="1:17" s="114" customFormat="1" ht="105">
      <c r="A293" s="105">
        <v>28</v>
      </c>
      <c r="B293" s="106" t="s">
        <v>42</v>
      </c>
      <c r="C293" s="110">
        <v>44743</v>
      </c>
      <c r="D293" s="107" t="s">
        <v>984</v>
      </c>
      <c r="E293" s="108" t="s">
        <v>985</v>
      </c>
      <c r="F293" s="105">
        <f t="shared" si="33"/>
        <v>27000</v>
      </c>
      <c r="G293" s="108" t="s">
        <v>197</v>
      </c>
      <c r="H293" s="109">
        <f t="shared" ref="H293:H300" si="41">F293</f>
        <v>27000</v>
      </c>
      <c r="I293" s="122" t="s">
        <v>959</v>
      </c>
      <c r="J293" s="110">
        <v>44834</v>
      </c>
      <c r="K293" s="122" t="s">
        <v>115</v>
      </c>
      <c r="L293" s="109"/>
      <c r="M293" s="109"/>
      <c r="N293" s="317"/>
      <c r="O293" s="112"/>
      <c r="P293" s="112"/>
      <c r="Q293" s="113"/>
    </row>
    <row r="294" spans="1:17" s="114" customFormat="1" ht="126">
      <c r="A294" s="105">
        <v>29</v>
      </c>
      <c r="B294" s="106" t="s">
        <v>42</v>
      </c>
      <c r="C294" s="110">
        <v>44743</v>
      </c>
      <c r="D294" s="107" t="s">
        <v>986</v>
      </c>
      <c r="E294" s="108" t="s">
        <v>987</v>
      </c>
      <c r="F294" s="105">
        <f t="shared" si="33"/>
        <v>27000</v>
      </c>
      <c r="G294" s="108" t="s">
        <v>198</v>
      </c>
      <c r="H294" s="109">
        <f t="shared" si="41"/>
        <v>27000</v>
      </c>
      <c r="I294" s="109" t="s">
        <v>34</v>
      </c>
      <c r="J294" s="110">
        <v>44834</v>
      </c>
      <c r="K294" s="122" t="s">
        <v>115</v>
      </c>
      <c r="L294" s="109"/>
      <c r="M294" s="109"/>
      <c r="N294" s="317"/>
      <c r="O294" s="112"/>
      <c r="P294" s="112"/>
      <c r="Q294" s="113"/>
    </row>
    <row r="295" spans="1:17" s="114" customFormat="1" ht="84">
      <c r="A295" s="105">
        <v>30</v>
      </c>
      <c r="B295" s="106" t="s">
        <v>42</v>
      </c>
      <c r="C295" s="110">
        <v>44743</v>
      </c>
      <c r="D295" s="107" t="s">
        <v>977</v>
      </c>
      <c r="E295" s="108" t="s">
        <v>976</v>
      </c>
      <c r="F295" s="105">
        <f t="shared" si="33"/>
        <v>27000</v>
      </c>
      <c r="G295" s="108" t="s">
        <v>418</v>
      </c>
      <c r="H295" s="109">
        <f t="shared" si="41"/>
        <v>27000</v>
      </c>
      <c r="I295" s="109" t="s">
        <v>34</v>
      </c>
      <c r="J295" s="110">
        <v>44834</v>
      </c>
      <c r="K295" s="122" t="s">
        <v>61</v>
      </c>
      <c r="L295" s="109"/>
      <c r="M295" s="109"/>
      <c r="N295" s="317"/>
      <c r="O295" s="112"/>
      <c r="P295" s="112"/>
      <c r="Q295" s="113"/>
    </row>
    <row r="296" spans="1:17" s="114" customFormat="1" ht="84">
      <c r="A296" s="105">
        <v>31</v>
      </c>
      <c r="B296" s="106" t="s">
        <v>42</v>
      </c>
      <c r="C296" s="110">
        <v>44743</v>
      </c>
      <c r="D296" s="107" t="s">
        <v>975</v>
      </c>
      <c r="E296" s="108" t="s">
        <v>976</v>
      </c>
      <c r="F296" s="105">
        <f t="shared" si="33"/>
        <v>27000</v>
      </c>
      <c r="G296" s="108" t="s">
        <v>415</v>
      </c>
      <c r="H296" s="109">
        <f t="shared" si="41"/>
        <v>27000</v>
      </c>
      <c r="I296" s="122" t="s">
        <v>959</v>
      </c>
      <c r="J296" s="110">
        <v>44834</v>
      </c>
      <c r="K296" s="122" t="s">
        <v>61</v>
      </c>
      <c r="L296" s="109"/>
      <c r="M296" s="109"/>
      <c r="N296" s="317"/>
      <c r="O296" s="112"/>
      <c r="P296" s="112"/>
      <c r="Q296" s="113"/>
    </row>
    <row r="297" spans="1:17" s="114" customFormat="1" ht="84">
      <c r="A297" s="105">
        <v>32</v>
      </c>
      <c r="B297" s="106" t="s">
        <v>42</v>
      </c>
      <c r="C297" s="110">
        <v>44743</v>
      </c>
      <c r="D297" s="107" t="s">
        <v>964</v>
      </c>
      <c r="E297" s="108" t="s">
        <v>965</v>
      </c>
      <c r="F297" s="105">
        <f t="shared" si="33"/>
        <v>27000</v>
      </c>
      <c r="G297" s="108" t="s">
        <v>429</v>
      </c>
      <c r="H297" s="109">
        <f t="shared" si="41"/>
        <v>27000</v>
      </c>
      <c r="I297" s="122" t="s">
        <v>959</v>
      </c>
      <c r="J297" s="110">
        <v>44834</v>
      </c>
      <c r="K297" s="122" t="s">
        <v>61</v>
      </c>
      <c r="L297" s="109"/>
      <c r="M297" s="109"/>
      <c r="N297" s="317"/>
      <c r="O297" s="112"/>
      <c r="P297" s="112"/>
      <c r="Q297" s="113"/>
    </row>
    <row r="298" spans="1:17" s="114" customFormat="1" ht="84">
      <c r="A298" s="105">
        <v>33</v>
      </c>
      <c r="B298" s="106" t="s">
        <v>42</v>
      </c>
      <c r="C298" s="110">
        <v>44743</v>
      </c>
      <c r="D298" s="107" t="s">
        <v>972</v>
      </c>
      <c r="E298" s="108" t="s">
        <v>973</v>
      </c>
      <c r="F298" s="105">
        <f t="shared" si="33"/>
        <v>27000</v>
      </c>
      <c r="G298" s="108" t="s">
        <v>439</v>
      </c>
      <c r="H298" s="109">
        <f t="shared" si="41"/>
        <v>27000</v>
      </c>
      <c r="I298" s="122" t="s">
        <v>959</v>
      </c>
      <c r="J298" s="110">
        <v>44834</v>
      </c>
      <c r="K298" s="122" t="s">
        <v>61</v>
      </c>
      <c r="L298" s="109"/>
      <c r="M298" s="109"/>
      <c r="N298" s="111"/>
      <c r="O298" s="112"/>
      <c r="P298" s="112"/>
      <c r="Q298" s="113"/>
    </row>
    <row r="299" spans="1:17" s="114" customFormat="1" ht="84">
      <c r="A299" s="105">
        <v>34</v>
      </c>
      <c r="B299" s="106" t="s">
        <v>42</v>
      </c>
      <c r="C299" s="110">
        <v>44743</v>
      </c>
      <c r="D299" s="107" t="s">
        <v>969</v>
      </c>
      <c r="E299" s="108" t="s">
        <v>965</v>
      </c>
      <c r="F299" s="105">
        <f t="shared" si="33"/>
        <v>27000</v>
      </c>
      <c r="G299" s="108" t="s">
        <v>512</v>
      </c>
      <c r="H299" s="109">
        <f t="shared" si="41"/>
        <v>27000</v>
      </c>
      <c r="I299" s="122" t="s">
        <v>959</v>
      </c>
      <c r="J299" s="110">
        <v>44834</v>
      </c>
      <c r="K299" s="122" t="s">
        <v>61</v>
      </c>
      <c r="L299" s="109"/>
      <c r="M299" s="109"/>
      <c r="N299" s="111"/>
      <c r="O299" s="112"/>
      <c r="P299" s="112"/>
      <c r="Q299" s="113"/>
    </row>
    <row r="300" spans="1:17" s="114" customFormat="1" ht="84">
      <c r="A300" s="105">
        <v>35</v>
      </c>
      <c r="B300" s="106" t="s">
        <v>42</v>
      </c>
      <c r="C300" s="110">
        <v>44743</v>
      </c>
      <c r="D300" s="107" t="s">
        <v>974</v>
      </c>
      <c r="E300" s="108" t="s">
        <v>965</v>
      </c>
      <c r="F300" s="105">
        <f t="shared" si="33"/>
        <v>27000</v>
      </c>
      <c r="G300" s="108" t="s">
        <v>407</v>
      </c>
      <c r="H300" s="109">
        <f t="shared" si="41"/>
        <v>27000</v>
      </c>
      <c r="I300" s="122" t="s">
        <v>959</v>
      </c>
      <c r="J300" s="110">
        <v>44834</v>
      </c>
      <c r="K300" s="122" t="s">
        <v>61</v>
      </c>
      <c r="L300" s="109"/>
      <c r="M300" s="109"/>
      <c r="N300" s="317"/>
      <c r="O300" s="112"/>
      <c r="P300" s="112"/>
      <c r="Q300" s="113"/>
    </row>
    <row r="301" spans="1:17" s="114" customFormat="1" ht="84">
      <c r="A301" s="105">
        <v>36</v>
      </c>
      <c r="B301" s="106" t="s">
        <v>42</v>
      </c>
      <c r="C301" s="110">
        <v>44743</v>
      </c>
      <c r="D301" s="107" t="s">
        <v>966</v>
      </c>
      <c r="E301" s="108" t="s">
        <v>967</v>
      </c>
      <c r="F301" s="105">
        <f t="shared" si="33"/>
        <v>27000</v>
      </c>
      <c r="G301" s="108" t="s">
        <v>587</v>
      </c>
      <c r="H301" s="109">
        <f t="shared" ref="H301" si="42">F301</f>
        <v>27000</v>
      </c>
      <c r="I301" s="122" t="s">
        <v>959</v>
      </c>
      <c r="J301" s="110">
        <v>44834</v>
      </c>
      <c r="K301" s="122" t="s">
        <v>61</v>
      </c>
      <c r="L301" s="109"/>
      <c r="M301" s="109"/>
      <c r="N301" s="111"/>
      <c r="O301" s="112"/>
      <c r="P301" s="112"/>
      <c r="Q301" s="113"/>
    </row>
    <row r="302" spans="1:17" s="114" customFormat="1" ht="84">
      <c r="A302" s="105">
        <v>37</v>
      </c>
      <c r="B302" s="106" t="s">
        <v>42</v>
      </c>
      <c r="C302" s="110">
        <v>44652</v>
      </c>
      <c r="D302" s="107" t="s">
        <v>968</v>
      </c>
      <c r="E302" s="108" t="s">
        <v>965</v>
      </c>
      <c r="F302" s="105">
        <f t="shared" si="33"/>
        <v>27000</v>
      </c>
      <c r="G302" s="108" t="s">
        <v>431</v>
      </c>
      <c r="H302" s="109">
        <f t="shared" ref="H302" si="43">F302</f>
        <v>27000</v>
      </c>
      <c r="I302" s="122" t="s">
        <v>959</v>
      </c>
      <c r="J302" s="110">
        <v>44834</v>
      </c>
      <c r="K302" s="122" t="s">
        <v>61</v>
      </c>
      <c r="L302" s="109"/>
      <c r="M302" s="109"/>
      <c r="N302" s="111"/>
      <c r="O302" s="112"/>
      <c r="P302" s="112"/>
      <c r="Q302" s="113"/>
    </row>
    <row r="303" spans="1:17" s="114" customFormat="1" ht="84">
      <c r="A303" s="105">
        <v>38</v>
      </c>
      <c r="B303" s="106" t="s">
        <v>42</v>
      </c>
      <c r="C303" s="110">
        <v>44743</v>
      </c>
      <c r="D303" s="107" t="s">
        <v>970</v>
      </c>
      <c r="E303" s="108" t="s">
        <v>965</v>
      </c>
      <c r="F303" s="105">
        <f t="shared" si="33"/>
        <v>27000</v>
      </c>
      <c r="G303" s="108" t="s">
        <v>971</v>
      </c>
      <c r="H303" s="109">
        <f>F303</f>
        <v>27000</v>
      </c>
      <c r="I303" s="122" t="s">
        <v>959</v>
      </c>
      <c r="J303" s="110">
        <v>44834</v>
      </c>
      <c r="K303" s="122" t="s">
        <v>61</v>
      </c>
      <c r="L303" s="109"/>
      <c r="M303" s="109"/>
      <c r="N303" s="111"/>
      <c r="O303" s="112"/>
      <c r="P303" s="112"/>
      <c r="Q303" s="113"/>
    </row>
    <row r="304" spans="1:17" s="114" customFormat="1" ht="84">
      <c r="A304" s="105">
        <v>39</v>
      </c>
      <c r="B304" s="106" t="s">
        <v>42</v>
      </c>
      <c r="C304" s="110">
        <v>44743</v>
      </c>
      <c r="D304" s="107" t="s">
        <v>963</v>
      </c>
      <c r="E304" s="108" t="s">
        <v>965</v>
      </c>
      <c r="F304" s="105">
        <f t="shared" si="33"/>
        <v>27000</v>
      </c>
      <c r="G304" s="108" t="s">
        <v>873</v>
      </c>
      <c r="H304" s="109">
        <f t="shared" si="37"/>
        <v>27000</v>
      </c>
      <c r="I304" s="122" t="s">
        <v>959</v>
      </c>
      <c r="J304" s="110">
        <v>44834</v>
      </c>
      <c r="K304" s="122" t="s">
        <v>61</v>
      </c>
      <c r="L304" s="109"/>
      <c r="M304" s="109"/>
      <c r="N304" s="115"/>
      <c r="O304" s="112"/>
      <c r="P304" s="112"/>
      <c r="Q304" s="113">
        <f t="shared" ref="Q304" si="44">N304-O304</f>
        <v>0</v>
      </c>
    </row>
    <row r="305" spans="1:17" s="114" customFormat="1" ht="105">
      <c r="A305" s="105">
        <v>40</v>
      </c>
      <c r="B305" s="106" t="s">
        <v>42</v>
      </c>
      <c r="C305" s="110">
        <v>44743</v>
      </c>
      <c r="D305" s="107" t="s">
        <v>980</v>
      </c>
      <c r="E305" s="108" t="s">
        <v>979</v>
      </c>
      <c r="F305" s="105">
        <f>315*92</f>
        <v>28980</v>
      </c>
      <c r="G305" s="108" t="s">
        <v>735</v>
      </c>
      <c r="H305" s="109">
        <f t="shared" ref="H305:H308" si="45">F305</f>
        <v>28980</v>
      </c>
      <c r="I305" s="122" t="s">
        <v>959</v>
      </c>
      <c r="J305" s="110">
        <v>44834</v>
      </c>
      <c r="K305" s="122" t="s">
        <v>61</v>
      </c>
      <c r="L305" s="110"/>
      <c r="M305" s="110"/>
      <c r="N305" s="178"/>
      <c r="O305" s="112"/>
      <c r="P305" s="112"/>
      <c r="Q305" s="113"/>
    </row>
    <row r="306" spans="1:17" s="114" customFormat="1" ht="105">
      <c r="A306" s="105">
        <v>41</v>
      </c>
      <c r="B306" s="106" t="s">
        <v>42</v>
      </c>
      <c r="C306" s="110">
        <v>44743</v>
      </c>
      <c r="D306" s="107" t="s">
        <v>981</v>
      </c>
      <c r="E306" s="108" t="s">
        <v>979</v>
      </c>
      <c r="F306" s="105">
        <f>315*92</f>
        <v>28980</v>
      </c>
      <c r="G306" s="108" t="s">
        <v>730</v>
      </c>
      <c r="H306" s="109">
        <f t="shared" si="45"/>
        <v>28980</v>
      </c>
      <c r="I306" s="122" t="s">
        <v>959</v>
      </c>
      <c r="J306" s="110">
        <v>44834</v>
      </c>
      <c r="K306" s="122" t="s">
        <v>61</v>
      </c>
      <c r="L306" s="110"/>
      <c r="M306" s="110"/>
      <c r="N306" s="111"/>
      <c r="O306" s="112"/>
      <c r="P306" s="112"/>
      <c r="Q306" s="113"/>
    </row>
    <row r="307" spans="1:17" s="114" customFormat="1" ht="105">
      <c r="A307" s="105">
        <v>42</v>
      </c>
      <c r="B307" s="106" t="s">
        <v>42</v>
      </c>
      <c r="C307" s="110">
        <v>44743</v>
      </c>
      <c r="D307" s="107" t="s">
        <v>982</v>
      </c>
      <c r="E307" s="108" t="s">
        <v>983</v>
      </c>
      <c r="F307" s="105">
        <f>3*9000</f>
        <v>27000</v>
      </c>
      <c r="G307" s="108" t="s">
        <v>399</v>
      </c>
      <c r="H307" s="109">
        <f t="shared" si="45"/>
        <v>27000</v>
      </c>
      <c r="I307" s="122" t="s">
        <v>959</v>
      </c>
      <c r="J307" s="110">
        <v>44834</v>
      </c>
      <c r="K307" s="122" t="s">
        <v>61</v>
      </c>
      <c r="L307" s="109"/>
      <c r="M307" s="109"/>
      <c r="N307" s="317"/>
      <c r="O307" s="112"/>
      <c r="P307" s="112"/>
      <c r="Q307" s="113"/>
    </row>
    <row r="308" spans="1:17" s="114" customFormat="1" ht="105">
      <c r="A308" s="105">
        <v>43</v>
      </c>
      <c r="B308" s="106" t="s">
        <v>42</v>
      </c>
      <c r="C308" s="110">
        <v>44743</v>
      </c>
      <c r="D308" s="107" t="s">
        <v>978</v>
      </c>
      <c r="E308" s="108" t="s">
        <v>979</v>
      </c>
      <c r="F308" s="105">
        <f>315*92</f>
        <v>28980</v>
      </c>
      <c r="G308" s="108" t="s">
        <v>738</v>
      </c>
      <c r="H308" s="109">
        <f t="shared" si="45"/>
        <v>28980</v>
      </c>
      <c r="I308" s="122" t="s">
        <v>959</v>
      </c>
      <c r="J308" s="110">
        <v>44834</v>
      </c>
      <c r="K308" s="122" t="s">
        <v>61</v>
      </c>
      <c r="L308" s="110"/>
      <c r="M308" s="110"/>
      <c r="N308" s="178"/>
      <c r="O308" s="112"/>
      <c r="P308" s="112"/>
      <c r="Q308" s="113"/>
    </row>
    <row r="309" spans="1:17" s="114" customFormat="1" ht="84">
      <c r="A309" s="105">
        <v>44</v>
      </c>
      <c r="B309" s="106" t="s">
        <v>42</v>
      </c>
      <c r="C309" s="110">
        <v>44743</v>
      </c>
      <c r="D309" s="107" t="s">
        <v>960</v>
      </c>
      <c r="E309" s="108" t="s">
        <v>961</v>
      </c>
      <c r="F309" s="105">
        <f>315*92</f>
        <v>28980</v>
      </c>
      <c r="G309" s="108" t="s">
        <v>261</v>
      </c>
      <c r="H309" s="109">
        <f>F309</f>
        <v>28980</v>
      </c>
      <c r="I309" s="122" t="s">
        <v>959</v>
      </c>
      <c r="J309" s="110">
        <v>44834</v>
      </c>
      <c r="K309" s="122" t="s">
        <v>61</v>
      </c>
      <c r="L309" s="110"/>
      <c r="M309" s="110"/>
      <c r="N309" s="317"/>
      <c r="O309" s="112"/>
      <c r="P309" s="112"/>
      <c r="Q309" s="113"/>
    </row>
    <row r="310" spans="1:17" s="114" customFormat="1" ht="84">
      <c r="A310" s="105">
        <v>45</v>
      </c>
      <c r="B310" s="106" t="s">
        <v>42</v>
      </c>
      <c r="C310" s="110">
        <v>44743</v>
      </c>
      <c r="D310" s="107" t="s">
        <v>956</v>
      </c>
      <c r="E310" s="108" t="s">
        <v>957</v>
      </c>
      <c r="F310" s="105">
        <f>315*92</f>
        <v>28980</v>
      </c>
      <c r="G310" s="108" t="s">
        <v>958</v>
      </c>
      <c r="H310" s="109">
        <f t="shared" si="37"/>
        <v>28980</v>
      </c>
      <c r="I310" s="122" t="s">
        <v>959</v>
      </c>
      <c r="J310" s="110">
        <v>44834</v>
      </c>
      <c r="K310" s="122" t="s">
        <v>61</v>
      </c>
      <c r="L310" s="110"/>
      <c r="M310" s="110"/>
      <c r="N310" s="317"/>
      <c r="O310" s="112"/>
      <c r="P310" s="112"/>
      <c r="Q310" s="113"/>
    </row>
    <row r="311" spans="1:17" s="114" customFormat="1" ht="84">
      <c r="A311" s="105">
        <v>46</v>
      </c>
      <c r="B311" s="106" t="s">
        <v>42</v>
      </c>
      <c r="C311" s="110">
        <v>44743</v>
      </c>
      <c r="D311" s="107" t="s">
        <v>1049</v>
      </c>
      <c r="E311" s="108" t="s">
        <v>1050</v>
      </c>
      <c r="F311" s="105">
        <f t="shared" ref="F311" si="46">315*91</f>
        <v>28665</v>
      </c>
      <c r="G311" s="108" t="s">
        <v>388</v>
      </c>
      <c r="H311" s="109">
        <f t="shared" si="37"/>
        <v>28665</v>
      </c>
      <c r="I311" s="122" t="s">
        <v>959</v>
      </c>
      <c r="J311" s="110">
        <v>44834</v>
      </c>
      <c r="K311" s="122" t="s">
        <v>61</v>
      </c>
      <c r="L311" s="110"/>
      <c r="M311" s="110"/>
      <c r="N311" s="317"/>
      <c r="O311" s="112"/>
      <c r="P311" s="112"/>
      <c r="Q311" s="113"/>
    </row>
    <row r="312" spans="1:17" s="114" customFormat="1" ht="84">
      <c r="A312" s="105">
        <v>47</v>
      </c>
      <c r="B312" s="106" t="s">
        <v>42</v>
      </c>
      <c r="C312" s="110">
        <v>44743</v>
      </c>
      <c r="D312" s="107" t="s">
        <v>1048</v>
      </c>
      <c r="E312" s="108" t="s">
        <v>961</v>
      </c>
      <c r="F312" s="105">
        <f>315*92</f>
        <v>28980</v>
      </c>
      <c r="G312" s="108" t="s">
        <v>389</v>
      </c>
      <c r="H312" s="109">
        <f t="shared" si="37"/>
        <v>28980</v>
      </c>
      <c r="I312" s="122" t="s">
        <v>959</v>
      </c>
      <c r="J312" s="110">
        <v>44834</v>
      </c>
      <c r="K312" s="122" t="s">
        <v>61</v>
      </c>
      <c r="L312" s="109"/>
      <c r="M312" s="109"/>
      <c r="N312" s="317"/>
      <c r="O312" s="112"/>
      <c r="P312" s="112"/>
      <c r="Q312" s="113"/>
    </row>
    <row r="313" spans="1:17" s="114" customFormat="1" ht="105">
      <c r="A313" s="105">
        <v>48</v>
      </c>
      <c r="B313" s="106" t="s">
        <v>42</v>
      </c>
      <c r="C313" s="110">
        <v>44743</v>
      </c>
      <c r="D313" s="107" t="s">
        <v>1043</v>
      </c>
      <c r="E313" s="108" t="s">
        <v>1045</v>
      </c>
      <c r="F313" s="105">
        <v>27000</v>
      </c>
      <c r="G313" s="108" t="s">
        <v>721</v>
      </c>
      <c r="H313" s="109">
        <v>27000</v>
      </c>
      <c r="I313" s="122" t="s">
        <v>959</v>
      </c>
      <c r="J313" s="110">
        <v>44834</v>
      </c>
      <c r="K313" s="122" t="s">
        <v>61</v>
      </c>
      <c r="L313" s="109"/>
      <c r="M313" s="109"/>
      <c r="N313" s="317"/>
      <c r="O313" s="112"/>
      <c r="P313" s="112"/>
      <c r="Q313" s="113"/>
    </row>
    <row r="314" spans="1:17" s="114" customFormat="1" ht="105">
      <c r="A314" s="105">
        <v>49</v>
      </c>
      <c r="B314" s="106" t="s">
        <v>42</v>
      </c>
      <c r="C314" s="110">
        <v>44743</v>
      </c>
      <c r="D314" s="107" t="s">
        <v>1042</v>
      </c>
      <c r="E314" s="108" t="s">
        <v>1044</v>
      </c>
      <c r="F314" s="105">
        <f>3*9000</f>
        <v>27000</v>
      </c>
      <c r="G314" s="108" t="s">
        <v>394</v>
      </c>
      <c r="H314" s="109">
        <f t="shared" si="37"/>
        <v>27000</v>
      </c>
      <c r="I314" s="122" t="s">
        <v>959</v>
      </c>
      <c r="J314" s="110">
        <v>44834</v>
      </c>
      <c r="K314" s="122" t="s">
        <v>61</v>
      </c>
      <c r="L314" s="109"/>
      <c r="M314" s="109"/>
      <c r="N314" s="317"/>
      <c r="O314" s="112"/>
      <c r="P314" s="112"/>
      <c r="Q314" s="113"/>
    </row>
    <row r="315" spans="1:17" s="114" customFormat="1" ht="105">
      <c r="A315" s="105">
        <v>50</v>
      </c>
      <c r="B315" s="106" t="s">
        <v>42</v>
      </c>
      <c r="C315" s="110">
        <v>44743</v>
      </c>
      <c r="D315" s="107" t="s">
        <v>1038</v>
      </c>
      <c r="E315" s="108" t="s">
        <v>1039</v>
      </c>
      <c r="F315" s="105">
        <f>3*9000</f>
        <v>27000</v>
      </c>
      <c r="G315" s="108" t="s">
        <v>396</v>
      </c>
      <c r="H315" s="109">
        <f t="shared" si="37"/>
        <v>27000</v>
      </c>
      <c r="I315" s="122" t="s">
        <v>959</v>
      </c>
      <c r="J315" s="110">
        <v>44834</v>
      </c>
      <c r="K315" s="122" t="s">
        <v>61</v>
      </c>
      <c r="L315" s="109"/>
      <c r="M315" s="109"/>
      <c r="N315" s="317"/>
      <c r="O315" s="112"/>
      <c r="P315" s="112"/>
      <c r="Q315" s="113"/>
    </row>
    <row r="316" spans="1:17" s="114" customFormat="1" ht="105">
      <c r="A316" s="105">
        <v>51</v>
      </c>
      <c r="B316" s="106" t="s">
        <v>42</v>
      </c>
      <c r="C316" s="110">
        <v>44743</v>
      </c>
      <c r="D316" s="107" t="s">
        <v>1041</v>
      </c>
      <c r="E316" s="108" t="s">
        <v>1040</v>
      </c>
      <c r="F316" s="105">
        <f>3*9000</f>
        <v>27000</v>
      </c>
      <c r="G316" s="108" t="s">
        <v>254</v>
      </c>
      <c r="H316" s="109">
        <f t="shared" si="37"/>
        <v>27000</v>
      </c>
      <c r="I316" s="122" t="s">
        <v>959</v>
      </c>
      <c r="J316" s="110">
        <v>44834</v>
      </c>
      <c r="K316" s="122" t="s">
        <v>61</v>
      </c>
      <c r="L316" s="109"/>
      <c r="M316" s="109"/>
      <c r="N316" s="317"/>
      <c r="O316" s="112"/>
      <c r="P316" s="112"/>
      <c r="Q316" s="113"/>
    </row>
    <row r="317" spans="1:17" s="114" customFormat="1" ht="105">
      <c r="A317" s="105">
        <v>52</v>
      </c>
      <c r="B317" s="106" t="s">
        <v>42</v>
      </c>
      <c r="C317" s="110">
        <v>44743</v>
      </c>
      <c r="D317" s="107" t="s">
        <v>1036</v>
      </c>
      <c r="E317" s="108" t="s">
        <v>1037</v>
      </c>
      <c r="F317" s="105">
        <f>3*9000</f>
        <v>27000</v>
      </c>
      <c r="G317" s="108" t="s">
        <v>532</v>
      </c>
      <c r="H317" s="109">
        <f t="shared" si="37"/>
        <v>27000</v>
      </c>
      <c r="I317" s="122" t="s">
        <v>959</v>
      </c>
      <c r="J317" s="110">
        <v>44834</v>
      </c>
      <c r="K317" s="122" t="s">
        <v>61</v>
      </c>
      <c r="L317" s="109"/>
      <c r="M317" s="109"/>
      <c r="N317" s="111"/>
      <c r="O317" s="112"/>
      <c r="P317" s="112"/>
      <c r="Q317" s="113"/>
    </row>
    <row r="318" spans="1:17" s="114" customFormat="1" ht="105">
      <c r="A318" s="105">
        <v>53</v>
      </c>
      <c r="B318" s="106" t="s">
        <v>42</v>
      </c>
      <c r="C318" s="110">
        <v>44743</v>
      </c>
      <c r="D318" s="107" t="s">
        <v>1060</v>
      </c>
      <c r="E318" s="108" t="s">
        <v>1061</v>
      </c>
      <c r="F318" s="105">
        <v>27000</v>
      </c>
      <c r="G318" s="108" t="s">
        <v>258</v>
      </c>
      <c r="H318" s="109">
        <v>27000</v>
      </c>
      <c r="I318" s="109" t="s">
        <v>34</v>
      </c>
      <c r="J318" s="110">
        <v>44834</v>
      </c>
      <c r="K318" s="122" t="s">
        <v>61</v>
      </c>
      <c r="L318" s="109"/>
      <c r="M318" s="109"/>
      <c r="N318" s="111"/>
      <c r="O318" s="112"/>
      <c r="P318" s="112"/>
      <c r="Q318" s="113"/>
    </row>
    <row r="319" spans="1:17" s="114" customFormat="1">
      <c r="A319" s="118"/>
      <c r="B319" s="263"/>
      <c r="C319" s="118"/>
      <c r="D319" s="151"/>
      <c r="E319" s="120"/>
      <c r="F319" s="118"/>
      <c r="G319" s="120"/>
      <c r="H319" s="126"/>
      <c r="I319" s="126"/>
      <c r="J319" s="174"/>
      <c r="K319" s="126"/>
      <c r="L319" s="126"/>
      <c r="M319" s="126"/>
      <c r="N319" s="264"/>
      <c r="O319" s="295"/>
      <c r="P319" s="112"/>
      <c r="Q319" s="113"/>
    </row>
    <row r="320" spans="1:17" s="114" customFormat="1">
      <c r="A320" s="118"/>
      <c r="B320" s="263"/>
      <c r="C320" s="118"/>
      <c r="D320" s="151"/>
      <c r="E320" s="120"/>
      <c r="F320" s="118"/>
      <c r="G320" s="120"/>
      <c r="H320" s="126"/>
      <c r="I320" s="126"/>
      <c r="J320" s="174"/>
      <c r="K320" s="126"/>
      <c r="L320" s="126"/>
      <c r="M320" s="126"/>
      <c r="N320" s="264"/>
      <c r="O320" s="295"/>
      <c r="P320" s="112"/>
      <c r="Q320" s="113"/>
    </row>
    <row r="321" spans="1:23" s="114" customFormat="1" ht="21.75" thickBot="1">
      <c r="A321" s="118"/>
      <c r="B321" s="263"/>
      <c r="C321" s="118"/>
      <c r="D321" s="151"/>
      <c r="E321" s="120"/>
      <c r="F321" s="118"/>
      <c r="G321" s="120"/>
      <c r="H321" s="126"/>
      <c r="I321" s="126"/>
      <c r="J321" s="174"/>
      <c r="K321" s="126"/>
      <c r="L321" s="126"/>
      <c r="M321" s="126"/>
      <c r="N321" s="264"/>
      <c r="O321" s="295"/>
      <c r="P321" s="112"/>
      <c r="Q321" s="129" t="s">
        <v>68</v>
      </c>
      <c r="R321" s="94">
        <f>SUM(R322:R323)</f>
        <v>2</v>
      </c>
    </row>
    <row r="322" spans="1:23" s="114" customFormat="1" ht="21.75" thickTop="1">
      <c r="A322" s="118"/>
      <c r="B322" s="263"/>
      <c r="C322" s="118"/>
      <c r="D322" s="151"/>
      <c r="E322" s="120"/>
      <c r="F322" s="118"/>
      <c r="G322" s="120"/>
      <c r="H322" s="126"/>
      <c r="I322" s="126"/>
      <c r="J322" s="174"/>
      <c r="K322" s="126"/>
      <c r="L322" s="126"/>
      <c r="M322" s="126"/>
      <c r="N322" s="264"/>
      <c r="O322" s="295"/>
      <c r="P322" s="112"/>
      <c r="Q322" s="339" t="s">
        <v>606</v>
      </c>
      <c r="R322" s="323">
        <v>1</v>
      </c>
    </row>
    <row r="323" spans="1:23" s="114" customFormat="1">
      <c r="A323" s="118"/>
      <c r="B323" s="263"/>
      <c r="C323" s="118"/>
      <c r="D323" s="151"/>
      <c r="E323" s="120"/>
      <c r="F323" s="118"/>
      <c r="G323" s="120"/>
      <c r="H323" s="126"/>
      <c r="I323" s="126"/>
      <c r="J323" s="174"/>
      <c r="K323" s="126"/>
      <c r="L323" s="126"/>
      <c r="M323" s="126"/>
      <c r="N323" s="264"/>
      <c r="O323" s="295"/>
      <c r="P323" s="112"/>
      <c r="Q323" s="130" t="s">
        <v>607</v>
      </c>
      <c r="R323" s="70">
        <v>1</v>
      </c>
    </row>
    <row r="324" spans="1:23" s="69" customFormat="1">
      <c r="A324" s="283"/>
      <c r="B324" s="284"/>
      <c r="C324" s="283"/>
      <c r="D324" s="285"/>
      <c r="E324" s="283"/>
      <c r="F324" s="283"/>
      <c r="G324" s="283"/>
      <c r="H324" s="286"/>
      <c r="I324" s="286"/>
      <c r="J324" s="286"/>
      <c r="K324" s="286"/>
      <c r="L324" s="286"/>
      <c r="M324" s="286"/>
      <c r="N324" s="287"/>
      <c r="O324" s="112"/>
      <c r="P324" s="68"/>
      <c r="Q324" s="267" t="s">
        <v>516</v>
      </c>
      <c r="S324" s="75"/>
      <c r="T324" s="130" t="s">
        <v>149</v>
      </c>
      <c r="U324" s="75">
        <v>2</v>
      </c>
    </row>
    <row r="325" spans="1:23" ht="21.75" thickBot="1">
      <c r="A325" s="50"/>
      <c r="B325" s="278"/>
      <c r="C325" s="50"/>
      <c r="D325" s="279"/>
      <c r="E325" s="50"/>
      <c r="F325" s="50"/>
      <c r="G325" s="50"/>
      <c r="H325" s="70"/>
      <c r="I325" s="70"/>
      <c r="J325" s="70"/>
      <c r="K325" s="70"/>
      <c r="L325" s="70"/>
      <c r="M325" s="70"/>
      <c r="N325" s="280"/>
      <c r="O325" s="112"/>
      <c r="P325" s="116"/>
      <c r="Q325" s="322" t="s">
        <v>61</v>
      </c>
      <c r="R325" s="482">
        <f>SUM(S328+S330+S333)</f>
        <v>25</v>
      </c>
      <c r="T325" s="130" t="s">
        <v>155</v>
      </c>
      <c r="U325" s="51">
        <v>3</v>
      </c>
    </row>
    <row r="326" spans="1:23" ht="21.75" thickTop="1">
      <c r="A326" s="50"/>
      <c r="B326" s="278"/>
      <c r="C326" s="50"/>
      <c r="D326" s="279"/>
      <c r="E326" s="50"/>
      <c r="F326" s="50"/>
      <c r="G326" s="50"/>
      <c r="H326" s="70"/>
      <c r="I326" s="70"/>
      <c r="J326" s="70"/>
      <c r="K326" s="70"/>
      <c r="L326" s="70"/>
      <c r="M326" s="70"/>
      <c r="N326" s="280"/>
      <c r="O326" s="112"/>
      <c r="P326" s="116"/>
      <c r="Q326" s="130" t="s">
        <v>149</v>
      </c>
      <c r="R326" s="75">
        <v>2</v>
      </c>
      <c r="S326" s="75"/>
      <c r="T326" s="130" t="s">
        <v>450</v>
      </c>
      <c r="U326" s="75">
        <v>8</v>
      </c>
    </row>
    <row r="327" spans="1:23">
      <c r="A327" s="50"/>
      <c r="B327" s="278"/>
      <c r="C327" s="50"/>
      <c r="D327" s="279"/>
      <c r="E327" s="50"/>
      <c r="F327" s="50"/>
      <c r="G327" s="50"/>
      <c r="H327" s="70"/>
      <c r="I327" s="70"/>
      <c r="J327" s="70"/>
      <c r="K327" s="70"/>
      <c r="L327" s="70"/>
      <c r="M327" s="70"/>
      <c r="N327" s="280"/>
      <c r="O327" s="112"/>
      <c r="P327" s="116"/>
      <c r="Q327" s="130" t="s">
        <v>513</v>
      </c>
      <c r="R327" s="51">
        <v>2</v>
      </c>
      <c r="S327" s="75"/>
      <c r="T327" s="130" t="s">
        <v>150</v>
      </c>
      <c r="U327" s="75">
        <v>2</v>
      </c>
    </row>
    <row r="328" spans="1:23">
      <c r="A328" s="50"/>
      <c r="B328" s="278"/>
      <c r="C328" s="50"/>
      <c r="D328" s="279"/>
      <c r="E328" s="50"/>
      <c r="F328" s="50"/>
      <c r="G328" s="73"/>
      <c r="H328" s="70"/>
      <c r="I328" s="70"/>
      <c r="J328" s="70"/>
      <c r="K328" s="70"/>
      <c r="L328" s="70"/>
      <c r="M328" s="70"/>
      <c r="N328" s="280"/>
      <c r="O328" s="112"/>
      <c r="P328" s="116"/>
      <c r="Q328" s="361" t="s">
        <v>514</v>
      </c>
      <c r="R328" s="361">
        <v>4</v>
      </c>
      <c r="S328" s="52">
        <f>SUM(R326:R328)</f>
        <v>8</v>
      </c>
      <c r="T328" s="73" t="s">
        <v>364</v>
      </c>
      <c r="U328" s="70">
        <v>5</v>
      </c>
    </row>
    <row r="329" spans="1:23">
      <c r="A329" s="50"/>
      <c r="B329" s="278"/>
      <c r="C329" s="50"/>
      <c r="D329" s="279"/>
      <c r="E329" s="50"/>
      <c r="F329" s="50"/>
      <c r="G329" s="50"/>
      <c r="H329" s="70"/>
      <c r="I329" s="70"/>
      <c r="J329" s="70"/>
      <c r="K329" s="70"/>
      <c r="L329" s="70"/>
      <c r="M329" s="70"/>
      <c r="N329" s="280"/>
      <c r="O329" s="112"/>
      <c r="P329" s="116"/>
      <c r="Q329" s="130" t="s">
        <v>511</v>
      </c>
      <c r="R329" s="75">
        <v>8</v>
      </c>
      <c r="S329" s="50"/>
      <c r="T329" s="50" t="s">
        <v>365</v>
      </c>
      <c r="U329" s="50">
        <v>2</v>
      </c>
    </row>
    <row r="330" spans="1:23" ht="21.75" thickBot="1">
      <c r="A330" s="50"/>
      <c r="B330" s="278"/>
      <c r="C330" s="50"/>
      <c r="D330" s="279"/>
      <c r="E330" s="50"/>
      <c r="F330" s="50"/>
      <c r="G330" s="50"/>
      <c r="H330" s="70"/>
      <c r="I330" s="70"/>
      <c r="J330" s="70"/>
      <c r="K330" s="70"/>
      <c r="L330" s="70"/>
      <c r="M330" s="70"/>
      <c r="N330" s="280"/>
      <c r="O330" s="112"/>
      <c r="P330" s="116"/>
      <c r="Q330" s="362" t="s">
        <v>150</v>
      </c>
      <c r="R330" s="370">
        <v>2</v>
      </c>
      <c r="S330" s="363">
        <f>SUM(R329:R330)</f>
        <v>10</v>
      </c>
      <c r="T330" s="132" t="s">
        <v>45</v>
      </c>
      <c r="U330" s="133">
        <f>SUM(U141:U329)</f>
        <v>22</v>
      </c>
    </row>
    <row r="331" spans="1:23" ht="21.75" thickTop="1">
      <c r="A331" s="50"/>
      <c r="B331" s="278"/>
      <c r="C331" s="50"/>
      <c r="D331" s="279"/>
      <c r="E331" s="50"/>
      <c r="F331" s="50"/>
      <c r="G331" s="50"/>
      <c r="H331" s="70"/>
      <c r="I331" s="70"/>
      <c r="J331" s="70"/>
      <c r="K331" s="70"/>
      <c r="L331" s="70"/>
      <c r="M331" s="70"/>
      <c r="N331" s="280"/>
      <c r="O331" s="112"/>
      <c r="P331" s="116"/>
      <c r="Q331" s="362" t="s">
        <v>739</v>
      </c>
      <c r="R331" s="70">
        <v>1</v>
      </c>
      <c r="S331" s="207"/>
      <c r="T331" s="132"/>
      <c r="U331" s="207"/>
    </row>
    <row r="332" spans="1:23">
      <c r="A332" s="50"/>
      <c r="B332" s="278"/>
      <c r="C332" s="50"/>
      <c r="D332" s="279"/>
      <c r="E332" s="50"/>
      <c r="F332" s="50"/>
      <c r="G332" s="50"/>
      <c r="H332" s="70"/>
      <c r="I332" s="70"/>
      <c r="J332" s="70"/>
      <c r="K332" s="70"/>
      <c r="L332" s="70"/>
      <c r="M332" s="70"/>
      <c r="N332" s="280"/>
      <c r="O332" s="112"/>
      <c r="P332" s="116"/>
      <c r="Q332" s="73" t="s">
        <v>364</v>
      </c>
      <c r="R332" s="70">
        <v>5</v>
      </c>
      <c r="S332" s="67"/>
      <c r="T332" s="129" t="s">
        <v>37</v>
      </c>
      <c r="U332" s="67">
        <v>7</v>
      </c>
      <c r="W332" s="51" t="s">
        <v>405</v>
      </c>
    </row>
    <row r="333" spans="1:23" ht="23.25">
      <c r="A333" s="50"/>
      <c r="B333" s="278"/>
      <c r="C333" s="50"/>
      <c r="D333" s="279"/>
      <c r="E333" s="50"/>
      <c r="F333" s="50"/>
      <c r="G333" s="50"/>
      <c r="H333" s="70"/>
      <c r="I333" s="70"/>
      <c r="J333" s="70"/>
      <c r="K333" s="70"/>
      <c r="L333" s="70"/>
      <c r="M333" s="70"/>
      <c r="N333" s="280"/>
      <c r="O333" s="112"/>
      <c r="P333" s="116"/>
      <c r="Q333" s="366" t="s">
        <v>515</v>
      </c>
      <c r="R333" s="366">
        <v>1</v>
      </c>
      <c r="S333" s="367">
        <f>SUM(R331:R333)</f>
        <v>7</v>
      </c>
      <c r="T333" s="129" t="s">
        <v>26</v>
      </c>
      <c r="U333" s="131">
        <v>18</v>
      </c>
    </row>
    <row r="334" spans="1:23">
      <c r="A334" s="50"/>
      <c r="B334" s="278"/>
      <c r="C334" s="50"/>
      <c r="D334" s="279"/>
      <c r="E334" s="50"/>
      <c r="F334" s="50"/>
      <c r="G334" s="50"/>
      <c r="H334" s="70"/>
      <c r="I334" s="70"/>
      <c r="J334" s="70"/>
      <c r="K334" s="70"/>
      <c r="L334" s="70"/>
      <c r="M334" s="70"/>
      <c r="N334" s="280"/>
      <c r="O334" s="112"/>
      <c r="P334" s="116"/>
    </row>
    <row r="335" spans="1:23">
      <c r="A335" s="50"/>
      <c r="B335" s="278"/>
      <c r="C335" s="50"/>
      <c r="D335" s="279"/>
      <c r="E335" s="50"/>
      <c r="F335" s="50"/>
      <c r="G335" s="50"/>
      <c r="H335" s="70"/>
      <c r="I335" s="70"/>
      <c r="J335" s="70"/>
      <c r="K335" s="70"/>
      <c r="L335" s="70"/>
      <c r="M335" s="70"/>
      <c r="N335" s="280"/>
      <c r="O335" s="112"/>
      <c r="P335" s="116"/>
      <c r="Q335" s="267" t="s">
        <v>518</v>
      </c>
      <c r="R335" s="207"/>
    </row>
    <row r="336" spans="1:23" ht="21.75" thickBot="1">
      <c r="A336" s="50"/>
      <c r="B336" s="278"/>
      <c r="C336" s="50"/>
      <c r="D336" s="279"/>
      <c r="E336" s="50"/>
      <c r="F336" s="50"/>
      <c r="G336" s="50"/>
      <c r="H336" s="70"/>
      <c r="I336" s="70"/>
      <c r="J336" s="70"/>
      <c r="K336" s="70"/>
      <c r="L336" s="70"/>
      <c r="M336" s="70"/>
      <c r="N336" s="280"/>
      <c r="O336" s="112"/>
      <c r="P336" s="116"/>
      <c r="Q336" s="321" t="s">
        <v>37</v>
      </c>
      <c r="R336" s="94">
        <v>6</v>
      </c>
    </row>
    <row r="337" spans="1:21" ht="21.75" thickTop="1">
      <c r="A337" s="50"/>
      <c r="B337" s="278"/>
      <c r="C337" s="50"/>
      <c r="D337" s="279"/>
      <c r="E337" s="50"/>
      <c r="F337" s="50"/>
      <c r="G337" s="50"/>
      <c r="H337" s="70"/>
      <c r="I337" s="70"/>
      <c r="J337" s="70"/>
      <c r="K337" s="70"/>
      <c r="L337" s="70"/>
      <c r="M337" s="70"/>
      <c r="N337" s="280"/>
      <c r="O337" s="112"/>
      <c r="P337" s="116"/>
    </row>
    <row r="338" spans="1:21">
      <c r="A338" s="50"/>
      <c r="B338" s="278"/>
      <c r="C338" s="50"/>
      <c r="D338" s="279"/>
      <c r="E338" s="50"/>
      <c r="F338" s="50"/>
      <c r="G338" s="50"/>
      <c r="H338" s="70"/>
      <c r="I338" s="70"/>
      <c r="J338" s="70"/>
      <c r="K338" s="70"/>
      <c r="L338" s="70"/>
      <c r="M338" s="70"/>
      <c r="N338" s="280"/>
      <c r="O338" s="112"/>
      <c r="P338" s="116"/>
      <c r="Q338" s="267" t="s">
        <v>517</v>
      </c>
    </row>
    <row r="339" spans="1:21" ht="21.75" thickBot="1">
      <c r="A339" s="50"/>
      <c r="B339" s="278"/>
      <c r="C339" s="50"/>
      <c r="D339" s="279"/>
      <c r="E339" s="50"/>
      <c r="F339" s="50"/>
      <c r="G339" s="50"/>
      <c r="H339" s="70"/>
      <c r="I339" s="70"/>
      <c r="J339" s="70"/>
      <c r="K339" s="70"/>
      <c r="L339" s="70"/>
      <c r="M339" s="70"/>
      <c r="N339" s="280"/>
      <c r="O339" s="112"/>
      <c r="P339" s="116"/>
      <c r="Q339" s="129" t="s">
        <v>26</v>
      </c>
      <c r="R339" s="483">
        <f>SUM(R340:R357)</f>
        <v>18</v>
      </c>
      <c r="U339" s="131">
        <f>R339</f>
        <v>18</v>
      </c>
    </row>
    <row r="340" spans="1:21" ht="21.75" thickTop="1">
      <c r="A340" s="50"/>
      <c r="B340" s="278"/>
      <c r="C340" s="50"/>
      <c r="D340" s="279"/>
      <c r="E340" s="50"/>
      <c r="F340" s="50"/>
      <c r="G340" s="50"/>
      <c r="H340" s="70"/>
      <c r="I340" s="70"/>
      <c r="J340" s="70"/>
      <c r="K340" s="70"/>
      <c r="L340" s="70"/>
      <c r="M340" s="70"/>
      <c r="N340" s="280"/>
      <c r="O340" s="112"/>
      <c r="P340" s="116"/>
      <c r="Q340" s="51" t="s">
        <v>490</v>
      </c>
      <c r="R340" s="51">
        <v>1</v>
      </c>
    </row>
    <row r="341" spans="1:21">
      <c r="A341" s="50"/>
      <c r="B341" s="278"/>
      <c r="C341" s="50"/>
      <c r="D341" s="279"/>
      <c r="E341" s="50"/>
      <c r="F341" s="50"/>
      <c r="G341" s="50"/>
      <c r="H341" s="70"/>
      <c r="I341" s="70"/>
      <c r="J341" s="70"/>
      <c r="K341" s="70"/>
      <c r="L341" s="70"/>
      <c r="M341" s="70"/>
      <c r="N341" s="280"/>
      <c r="O341" s="112"/>
      <c r="P341" s="116"/>
      <c r="Q341" s="51" t="s">
        <v>501</v>
      </c>
      <c r="R341" s="51">
        <v>1</v>
      </c>
    </row>
    <row r="342" spans="1:21">
      <c r="A342" s="70"/>
      <c r="B342" s="281"/>
      <c r="C342" s="50"/>
      <c r="D342" s="50"/>
      <c r="E342" s="50"/>
      <c r="F342" s="50"/>
      <c r="G342" s="50"/>
      <c r="H342" s="70"/>
      <c r="I342" s="70"/>
      <c r="J342" s="70"/>
      <c r="K342" s="70"/>
      <c r="L342" s="70"/>
      <c r="M342" s="70"/>
      <c r="N342" s="282"/>
      <c r="Q342" s="51" t="s">
        <v>495</v>
      </c>
      <c r="R342" s="51">
        <v>1</v>
      </c>
    </row>
    <row r="343" spans="1:21">
      <c r="A343" s="70"/>
      <c r="B343" s="281"/>
      <c r="C343" s="50"/>
      <c r="D343" s="50"/>
      <c r="E343" s="50"/>
      <c r="F343" s="50"/>
      <c r="G343" s="50"/>
      <c r="H343" s="70"/>
      <c r="I343" s="70"/>
      <c r="J343" s="70"/>
      <c r="K343" s="70"/>
      <c r="L343" s="70"/>
      <c r="M343" s="70"/>
      <c r="N343" s="282"/>
      <c r="Q343" s="51" t="s">
        <v>493</v>
      </c>
      <c r="R343" s="51">
        <v>1</v>
      </c>
    </row>
    <row r="344" spans="1:21">
      <c r="Q344" s="51" t="s">
        <v>498</v>
      </c>
      <c r="R344" s="51">
        <v>1</v>
      </c>
    </row>
    <row r="345" spans="1:21">
      <c r="Q345" s="51" t="s">
        <v>604</v>
      </c>
      <c r="R345" s="51">
        <v>1</v>
      </c>
    </row>
    <row r="346" spans="1:21">
      <c r="Q346" s="51" t="s">
        <v>557</v>
      </c>
      <c r="R346" s="51">
        <v>1</v>
      </c>
      <c r="S346" s="51" t="s">
        <v>558</v>
      </c>
    </row>
    <row r="347" spans="1:21">
      <c r="Q347" s="51" t="s">
        <v>502</v>
      </c>
      <c r="R347" s="51">
        <v>1</v>
      </c>
    </row>
    <row r="348" spans="1:21">
      <c r="Q348" s="51" t="s">
        <v>605</v>
      </c>
      <c r="R348" s="51">
        <v>1</v>
      </c>
    </row>
    <row r="349" spans="1:21">
      <c r="Q349" s="51" t="s">
        <v>494</v>
      </c>
      <c r="R349" s="51">
        <v>1</v>
      </c>
    </row>
    <row r="350" spans="1:21">
      <c r="Q350" s="51" t="s">
        <v>500</v>
      </c>
      <c r="R350" s="51">
        <v>1</v>
      </c>
    </row>
    <row r="351" spans="1:21">
      <c r="Q351" s="51" t="s">
        <v>491</v>
      </c>
      <c r="R351" s="51">
        <v>1</v>
      </c>
      <c r="S351" s="67"/>
      <c r="T351" s="129"/>
      <c r="U351" s="67"/>
    </row>
    <row r="352" spans="1:21">
      <c r="Q352" s="51" t="s">
        <v>491</v>
      </c>
      <c r="R352" s="51">
        <v>1</v>
      </c>
      <c r="S352" s="51" t="s">
        <v>558</v>
      </c>
      <c r="T352" s="129" t="s">
        <v>38</v>
      </c>
      <c r="U352" s="67">
        <v>9</v>
      </c>
    </row>
    <row r="353" spans="17:21">
      <c r="Q353" s="51" t="s">
        <v>497</v>
      </c>
      <c r="R353" s="51">
        <v>1</v>
      </c>
      <c r="T353" s="131" t="s">
        <v>68</v>
      </c>
      <c r="U353" s="131">
        <v>2</v>
      </c>
    </row>
    <row r="354" spans="17:21" ht="21.75" thickBot="1">
      <c r="Q354" s="51" t="s">
        <v>492</v>
      </c>
      <c r="R354" s="51">
        <v>1</v>
      </c>
      <c r="T354" s="129" t="s">
        <v>45</v>
      </c>
      <c r="U354" s="94">
        <f>SUM(U330:U353)</f>
        <v>76</v>
      </c>
    </row>
    <row r="355" spans="17:21" ht="21.75" thickTop="1">
      <c r="Q355" s="51" t="s">
        <v>496</v>
      </c>
      <c r="R355" s="51">
        <v>1</v>
      </c>
      <c r="S355" s="51" t="s">
        <v>405</v>
      </c>
    </row>
    <row r="356" spans="17:21">
      <c r="Q356" s="51" t="s">
        <v>743</v>
      </c>
      <c r="R356" s="51">
        <v>1</v>
      </c>
      <c r="S356" s="51" t="s">
        <v>744</v>
      </c>
    </row>
    <row r="357" spans="17:21">
      <c r="Q357" s="51" t="s">
        <v>499</v>
      </c>
      <c r="R357" s="51">
        <v>1</v>
      </c>
      <c r="S357" s="116"/>
      <c r="T357" s="51" t="s">
        <v>362</v>
      </c>
      <c r="U357" s="51">
        <v>1</v>
      </c>
    </row>
    <row r="358" spans="17:21">
      <c r="T358" s="51" t="s">
        <v>363</v>
      </c>
      <c r="U358" s="51">
        <v>26</v>
      </c>
    </row>
    <row r="359" spans="17:21" ht="21.75" thickBot="1">
      <c r="Q359" s="267" t="s">
        <v>516</v>
      </c>
      <c r="T359" s="131" t="s">
        <v>45</v>
      </c>
      <c r="U359" s="133">
        <f>SUM(U357:U358)</f>
        <v>27</v>
      </c>
    </row>
    <row r="360" spans="17:21" ht="22.5" thickTop="1" thickBot="1">
      <c r="Q360" s="129" t="s">
        <v>38</v>
      </c>
      <c r="R360" s="94">
        <f>SUM(R361:R362)</f>
        <v>8</v>
      </c>
      <c r="T360" s="131" t="s">
        <v>65</v>
      </c>
      <c r="U360" s="131">
        <f>U354+U359</f>
        <v>103</v>
      </c>
    </row>
    <row r="361" spans="17:21" ht="21.75" thickTop="1">
      <c r="Q361" s="51" t="s">
        <v>453</v>
      </c>
      <c r="R361" s="51">
        <v>7</v>
      </c>
      <c r="S361" s="207"/>
      <c r="U361" s="50"/>
    </row>
    <row r="362" spans="17:21">
      <c r="Q362" s="51" t="s">
        <v>454</v>
      </c>
      <c r="R362" s="51">
        <v>1</v>
      </c>
      <c r="S362" s="131"/>
    </row>
    <row r="364" spans="17:21" ht="21.75" thickBot="1">
      <c r="Q364" s="129" t="s">
        <v>519</v>
      </c>
      <c r="R364" s="94">
        <f>R321+R325+R336+R339+R360</f>
        <v>59</v>
      </c>
    </row>
    <row r="365" spans="17:21" ht="21.75" thickTop="1">
      <c r="Q365" s="267" t="s">
        <v>518</v>
      </c>
    </row>
    <row r="366" spans="17:21">
      <c r="Q366" s="51" t="s">
        <v>362</v>
      </c>
      <c r="R366" s="51">
        <v>1</v>
      </c>
    </row>
    <row r="367" spans="17:21">
      <c r="Q367" s="51" t="s">
        <v>363</v>
      </c>
      <c r="R367" s="51">
        <v>25</v>
      </c>
      <c r="S367" s="51" t="s">
        <v>610</v>
      </c>
    </row>
    <row r="368" spans="17:21" ht="21.75" thickBot="1">
      <c r="Q368" s="132" t="s">
        <v>520</v>
      </c>
      <c r="R368" s="133">
        <f>SUM(R366:R367)</f>
        <v>26</v>
      </c>
    </row>
    <row r="369" spans="17:18" ht="21.75" thickTop="1">
      <c r="Q369" s="132" t="s">
        <v>521</v>
      </c>
      <c r="R369" s="131">
        <f>R364+R368</f>
        <v>85</v>
      </c>
    </row>
  </sheetData>
  <mergeCells count="13">
    <mergeCell ref="A1:M1"/>
    <mergeCell ref="A2:M2"/>
    <mergeCell ref="A3:M3"/>
    <mergeCell ref="L5:L6"/>
    <mergeCell ref="A7:E7"/>
    <mergeCell ref="E5:E6"/>
    <mergeCell ref="G5:G6"/>
    <mergeCell ref="M5:M6"/>
    <mergeCell ref="A244:E244"/>
    <mergeCell ref="A265:E265"/>
    <mergeCell ref="A175:E175"/>
    <mergeCell ref="A167:E167"/>
    <mergeCell ref="A107:E107"/>
  </mergeCells>
  <pageMargins left="0.55118110236220474" right="0.23622047244094491" top="0.39370078740157483" bottom="0.19685039370078741" header="0.31496062992125984" footer="0.31496062992125984"/>
  <pageSetup paperSize="5" orientation="landscape"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62"/>
  <sheetViews>
    <sheetView view="pageBreakPreview" zoomScaleNormal="100" zoomScaleSheetLayoutView="100" workbookViewId="0">
      <pane ySplit="6" topLeftCell="A162" activePane="bottomLeft" state="frozen"/>
      <selection pane="bottomLeft" activeCell="E159" sqref="E159"/>
    </sheetView>
  </sheetViews>
  <sheetFormatPr defaultColWidth="9" defaultRowHeight="21"/>
  <cols>
    <col min="1" max="1" width="3.85546875" style="75" customWidth="1"/>
    <col min="2" max="2" width="12.28515625" style="74" customWidth="1"/>
    <col min="3" max="3" width="7.5703125" style="51" customWidth="1"/>
    <col min="4" max="4" width="8" style="51" customWidth="1"/>
    <col min="5" max="5" width="28.28515625" style="51" customWidth="1"/>
    <col min="6" max="6" width="9.5703125" style="51" customWidth="1"/>
    <col min="7" max="7" width="36.28515625" style="51" customWidth="1"/>
    <col min="8" max="8" width="8.5703125" style="75" customWidth="1"/>
    <col min="9" max="9" width="6.5703125" style="75" bestFit="1" customWidth="1"/>
    <col min="10" max="10" width="8.5703125" style="75" customWidth="1"/>
    <col min="11" max="11" width="7.28515625" style="75" customWidth="1"/>
    <col min="12" max="12" width="7.85546875" style="75" customWidth="1"/>
    <col min="13" max="13" width="7" style="75" customWidth="1"/>
    <col min="14" max="14" width="5.140625" style="49" bestFit="1" customWidth="1"/>
    <col min="15" max="15" width="31.7109375" style="50" customWidth="1"/>
    <col min="16" max="16" width="3.140625" style="50" customWidth="1"/>
    <col min="17" max="17" width="21.28515625" style="51" customWidth="1"/>
    <col min="18" max="18" width="9" style="51"/>
    <col min="19" max="19" width="5" style="51" customWidth="1"/>
    <col min="20" max="20" width="33.5703125" style="51" customWidth="1"/>
    <col min="21" max="16384" width="9" style="51"/>
  </cols>
  <sheetData>
    <row r="1" spans="1:19">
      <c r="A1" s="547" t="s">
        <v>32</v>
      </c>
      <c r="B1" s="547"/>
      <c r="C1" s="547"/>
      <c r="D1" s="547"/>
      <c r="E1" s="547"/>
      <c r="F1" s="547"/>
      <c r="G1" s="547"/>
      <c r="H1" s="547"/>
      <c r="I1" s="547"/>
      <c r="J1" s="547"/>
      <c r="K1" s="547"/>
      <c r="L1" s="547"/>
      <c r="M1" s="547"/>
    </row>
    <row r="2" spans="1:19">
      <c r="A2" s="547" t="s">
        <v>23</v>
      </c>
      <c r="B2" s="547"/>
      <c r="C2" s="547"/>
      <c r="D2" s="547"/>
      <c r="E2" s="547"/>
      <c r="F2" s="547"/>
      <c r="G2" s="547"/>
      <c r="H2" s="547"/>
      <c r="I2" s="547"/>
      <c r="J2" s="547"/>
      <c r="K2" s="547"/>
      <c r="L2" s="547"/>
      <c r="M2" s="547"/>
    </row>
    <row r="3" spans="1:19">
      <c r="A3" s="547" t="s">
        <v>69</v>
      </c>
      <c r="B3" s="547"/>
      <c r="C3" s="547"/>
      <c r="D3" s="547"/>
      <c r="E3" s="547"/>
      <c r="F3" s="547"/>
      <c r="G3" s="547"/>
      <c r="H3" s="547"/>
      <c r="I3" s="547"/>
      <c r="J3" s="547"/>
      <c r="K3" s="547"/>
      <c r="L3" s="547"/>
      <c r="M3" s="547"/>
    </row>
    <row r="4" spans="1:19">
      <c r="A4" s="52"/>
      <c r="B4" s="53"/>
      <c r="C4" s="52"/>
      <c r="D4" s="52"/>
      <c r="E4" s="52"/>
      <c r="F4" s="52"/>
      <c r="G4" s="52"/>
      <c r="H4" s="52"/>
      <c r="I4" s="52"/>
      <c r="J4" s="52"/>
      <c r="K4" s="52"/>
      <c r="L4" s="52"/>
      <c r="M4" s="52"/>
    </row>
    <row r="5" spans="1:19" s="59" customFormat="1" ht="25.5" customHeight="1">
      <c r="A5" s="54" t="s">
        <v>0</v>
      </c>
      <c r="B5" s="55" t="s">
        <v>21</v>
      </c>
      <c r="C5" s="54" t="s">
        <v>14</v>
      </c>
      <c r="D5" s="54" t="s">
        <v>16</v>
      </c>
      <c r="E5" s="536" t="s">
        <v>2</v>
      </c>
      <c r="F5" s="54" t="s">
        <v>19</v>
      </c>
      <c r="G5" s="536" t="s">
        <v>40</v>
      </c>
      <c r="H5" s="54" t="s">
        <v>6</v>
      </c>
      <c r="I5" s="54" t="s">
        <v>8</v>
      </c>
      <c r="J5" s="54" t="s">
        <v>10</v>
      </c>
      <c r="K5" s="54" t="s">
        <v>11</v>
      </c>
      <c r="L5" s="536" t="s">
        <v>13</v>
      </c>
      <c r="M5" s="536" t="s">
        <v>39</v>
      </c>
      <c r="N5" s="57" t="s">
        <v>63</v>
      </c>
      <c r="O5" s="58"/>
      <c r="P5" s="58"/>
    </row>
    <row r="6" spans="1:19" s="59" customFormat="1" ht="25.5" customHeight="1">
      <c r="A6" s="60" t="s">
        <v>1</v>
      </c>
      <c r="B6" s="61" t="s">
        <v>22</v>
      </c>
      <c r="C6" s="60" t="s">
        <v>5</v>
      </c>
      <c r="D6" s="60" t="s">
        <v>4</v>
      </c>
      <c r="E6" s="537"/>
      <c r="F6" s="60" t="s">
        <v>20</v>
      </c>
      <c r="G6" s="537"/>
      <c r="H6" s="60" t="s">
        <v>7</v>
      </c>
      <c r="I6" s="60" t="s">
        <v>9</v>
      </c>
      <c r="J6" s="60" t="s">
        <v>14</v>
      </c>
      <c r="K6" s="60" t="s">
        <v>12</v>
      </c>
      <c r="L6" s="537"/>
      <c r="M6" s="537"/>
      <c r="N6" s="63" t="s">
        <v>64</v>
      </c>
      <c r="O6" s="58"/>
      <c r="P6" s="58"/>
    </row>
    <row r="7" spans="1:19" s="67" customFormat="1" ht="25.5" customHeight="1">
      <c r="A7" s="544" t="s">
        <v>381</v>
      </c>
      <c r="B7" s="545"/>
      <c r="C7" s="545"/>
      <c r="D7" s="545"/>
      <c r="E7" s="546"/>
      <c r="F7" s="64"/>
      <c r="G7" s="65"/>
      <c r="H7" s="64"/>
      <c r="I7" s="64"/>
      <c r="J7" s="64"/>
      <c r="K7" s="64"/>
      <c r="L7" s="65"/>
      <c r="M7" s="65"/>
      <c r="N7" s="66"/>
      <c r="O7" s="116"/>
      <c r="P7" s="116"/>
    </row>
    <row r="8" spans="1:19" s="118" customFormat="1" ht="168">
      <c r="A8" s="105">
        <v>1</v>
      </c>
      <c r="B8" s="121" t="s">
        <v>129</v>
      </c>
      <c r="C8" s="117">
        <v>44489</v>
      </c>
      <c r="D8" s="107" t="s">
        <v>71</v>
      </c>
      <c r="E8" s="108" t="s">
        <v>126</v>
      </c>
      <c r="F8" s="105">
        <v>1400</v>
      </c>
      <c r="G8" s="108" t="s">
        <v>127</v>
      </c>
      <c r="H8" s="109">
        <f>F8</f>
        <v>1400</v>
      </c>
      <c r="I8" s="109" t="s">
        <v>44</v>
      </c>
      <c r="J8" s="117">
        <v>44497</v>
      </c>
      <c r="K8" s="115" t="s">
        <v>38</v>
      </c>
      <c r="L8" s="117">
        <v>44490</v>
      </c>
      <c r="M8" s="117">
        <v>44490</v>
      </c>
      <c r="N8" s="105"/>
      <c r="O8" s="120">
        <v>1</v>
      </c>
      <c r="Q8" s="120" t="s">
        <v>128</v>
      </c>
      <c r="R8" s="119"/>
      <c r="S8" s="119"/>
    </row>
    <row r="9" spans="1:19" s="118" customFormat="1" ht="105">
      <c r="A9" s="105">
        <v>2</v>
      </c>
      <c r="B9" s="121" t="s">
        <v>378</v>
      </c>
      <c r="C9" s="117">
        <v>44494</v>
      </c>
      <c r="D9" s="107" t="s">
        <v>108</v>
      </c>
      <c r="E9" s="108" t="s">
        <v>379</v>
      </c>
      <c r="F9" s="105">
        <v>15680</v>
      </c>
      <c r="G9" s="108" t="s">
        <v>761</v>
      </c>
      <c r="H9" s="109">
        <f>F9</f>
        <v>15680</v>
      </c>
      <c r="I9" s="109" t="s">
        <v>44</v>
      </c>
      <c r="J9" s="117">
        <v>44501</v>
      </c>
      <c r="K9" s="115" t="s">
        <v>26</v>
      </c>
      <c r="L9" s="117">
        <v>44496</v>
      </c>
      <c r="M9" s="117">
        <v>44496</v>
      </c>
      <c r="N9" s="105"/>
      <c r="O9" s="120">
        <v>1</v>
      </c>
      <c r="Q9" s="120" t="s">
        <v>128</v>
      </c>
      <c r="R9" s="119"/>
      <c r="S9" s="119"/>
    </row>
    <row r="10" spans="1:19" s="118" customFormat="1" ht="105">
      <c r="A10" s="153">
        <v>3</v>
      </c>
      <c r="B10" s="154" t="s">
        <v>173</v>
      </c>
      <c r="C10" s="155">
        <v>44494</v>
      </c>
      <c r="D10" s="156" t="s">
        <v>109</v>
      </c>
      <c r="E10" s="157" t="s">
        <v>174</v>
      </c>
      <c r="F10" s="153">
        <v>2800</v>
      </c>
      <c r="G10" s="157" t="s">
        <v>175</v>
      </c>
      <c r="H10" s="158">
        <f>F10</f>
        <v>2800</v>
      </c>
      <c r="I10" s="158" t="s">
        <v>44</v>
      </c>
      <c r="J10" s="155">
        <v>44501</v>
      </c>
      <c r="K10" s="159" t="s">
        <v>26</v>
      </c>
      <c r="L10" s="155">
        <v>44501</v>
      </c>
      <c r="M10" s="155">
        <v>44501</v>
      </c>
      <c r="N10" s="153"/>
      <c r="O10" s="228">
        <v>3</v>
      </c>
      <c r="Q10" s="119" t="s">
        <v>177</v>
      </c>
      <c r="R10" s="119"/>
      <c r="S10" s="119"/>
    </row>
    <row r="11" spans="1:19" s="118" customFormat="1">
      <c r="B11" s="149"/>
      <c r="C11" s="150"/>
      <c r="D11" s="151"/>
      <c r="E11" s="120"/>
      <c r="G11" s="120"/>
      <c r="H11" s="126"/>
      <c r="I11" s="126"/>
      <c r="J11" s="150"/>
      <c r="K11" s="152"/>
      <c r="L11" s="150"/>
      <c r="M11" s="150"/>
      <c r="O11" s="120"/>
      <c r="Q11" s="119"/>
      <c r="R11" s="119"/>
      <c r="S11" s="119"/>
    </row>
    <row r="12" spans="1:19" s="118" customFormat="1">
      <c r="B12" s="149"/>
      <c r="C12" s="150"/>
      <c r="D12" s="151"/>
      <c r="E12" s="120"/>
      <c r="G12" s="120"/>
      <c r="H12" s="126"/>
      <c r="I12" s="126"/>
      <c r="J12" s="150"/>
      <c r="K12" s="152"/>
      <c r="L12" s="150"/>
      <c r="M12" s="150"/>
      <c r="O12" s="120"/>
      <c r="Q12" s="119"/>
      <c r="R12" s="119"/>
      <c r="S12" s="119"/>
    </row>
    <row r="13" spans="1:19" s="118" customFormat="1">
      <c r="B13" s="149"/>
      <c r="C13" s="150"/>
      <c r="D13" s="151"/>
      <c r="E13" s="120"/>
      <c r="G13" s="120"/>
      <c r="H13" s="126"/>
      <c r="I13" s="126"/>
      <c r="J13" s="150"/>
      <c r="K13" s="152"/>
      <c r="L13" s="150"/>
      <c r="M13" s="150"/>
      <c r="O13" s="120"/>
      <c r="Q13" s="119"/>
      <c r="R13" s="119"/>
      <c r="S13" s="119"/>
    </row>
    <row r="14" spans="1:19" s="118" customFormat="1">
      <c r="B14" s="149"/>
      <c r="C14" s="150"/>
      <c r="D14" s="151"/>
      <c r="E14" s="120"/>
      <c r="G14" s="120"/>
      <c r="H14" s="126"/>
      <c r="I14" s="126"/>
      <c r="J14" s="150"/>
      <c r="K14" s="152"/>
      <c r="L14" s="150"/>
      <c r="M14" s="150"/>
      <c r="O14" s="120"/>
      <c r="Q14" s="119"/>
      <c r="R14" s="119"/>
      <c r="S14" s="119"/>
    </row>
    <row r="15" spans="1:19" s="67" customFormat="1" ht="25.5" customHeight="1">
      <c r="A15" s="544" t="s">
        <v>581</v>
      </c>
      <c r="B15" s="545"/>
      <c r="C15" s="545"/>
      <c r="D15" s="545"/>
      <c r="E15" s="546"/>
      <c r="F15" s="64"/>
      <c r="G15" s="65"/>
      <c r="H15" s="64"/>
      <c r="I15" s="64"/>
      <c r="J15" s="64"/>
      <c r="K15" s="64"/>
      <c r="L15" s="65"/>
      <c r="M15" s="65"/>
      <c r="N15" s="66"/>
      <c r="O15" s="116"/>
      <c r="P15" s="116"/>
    </row>
    <row r="16" spans="1:19" s="118" customFormat="1" ht="105">
      <c r="A16" s="105">
        <v>1</v>
      </c>
      <c r="B16" s="121" t="s">
        <v>176</v>
      </c>
      <c r="C16" s="117">
        <v>44508</v>
      </c>
      <c r="D16" s="107" t="s">
        <v>110</v>
      </c>
      <c r="E16" s="108" t="s">
        <v>179</v>
      </c>
      <c r="F16" s="105">
        <v>1700</v>
      </c>
      <c r="G16" s="108" t="s">
        <v>175</v>
      </c>
      <c r="H16" s="109">
        <f t="shared" ref="H16:H20" si="0">F16</f>
        <v>1700</v>
      </c>
      <c r="I16" s="109" t="s">
        <v>44</v>
      </c>
      <c r="J16" s="117">
        <v>44515</v>
      </c>
      <c r="K16" s="115" t="s">
        <v>26</v>
      </c>
      <c r="L16" s="117">
        <v>44515</v>
      </c>
      <c r="M16" s="117">
        <v>44515</v>
      </c>
      <c r="N16" s="105"/>
      <c r="O16" s="228">
        <v>4</v>
      </c>
      <c r="Q16" s="119" t="s">
        <v>177</v>
      </c>
      <c r="R16" s="119"/>
      <c r="S16" s="119"/>
    </row>
    <row r="17" spans="1:19" s="118" customFormat="1" ht="147">
      <c r="A17" s="105">
        <v>2</v>
      </c>
      <c r="B17" s="121" t="s">
        <v>176</v>
      </c>
      <c r="C17" s="117">
        <v>44508</v>
      </c>
      <c r="D17" s="107" t="s">
        <v>111</v>
      </c>
      <c r="E17" s="160" t="s">
        <v>178</v>
      </c>
      <c r="F17" s="105">
        <v>14970</v>
      </c>
      <c r="G17" s="127" t="s">
        <v>584</v>
      </c>
      <c r="H17" s="109">
        <f t="shared" si="0"/>
        <v>14970</v>
      </c>
      <c r="I17" s="109" t="s">
        <v>44</v>
      </c>
      <c r="J17" s="117">
        <v>44515</v>
      </c>
      <c r="K17" s="115" t="s">
        <v>37</v>
      </c>
      <c r="L17" s="117">
        <v>44515</v>
      </c>
      <c r="M17" s="117">
        <v>44515</v>
      </c>
      <c r="N17" s="105"/>
      <c r="O17" s="228">
        <v>5</v>
      </c>
      <c r="Q17" s="119" t="s">
        <v>177</v>
      </c>
      <c r="R17" s="119"/>
      <c r="S17" s="119"/>
    </row>
    <row r="18" spans="1:19" s="118" customFormat="1" ht="84">
      <c r="A18" s="105">
        <v>3</v>
      </c>
      <c r="B18" s="121" t="s">
        <v>180</v>
      </c>
      <c r="C18" s="117">
        <v>44512</v>
      </c>
      <c r="D18" s="107" t="s">
        <v>112</v>
      </c>
      <c r="E18" s="108" t="s">
        <v>583</v>
      </c>
      <c r="F18" s="105">
        <v>59000</v>
      </c>
      <c r="G18" s="140" t="s">
        <v>170</v>
      </c>
      <c r="H18" s="109">
        <f t="shared" si="0"/>
        <v>59000</v>
      </c>
      <c r="I18" s="109" t="s">
        <v>44</v>
      </c>
      <c r="J18" s="117">
        <v>44572</v>
      </c>
      <c r="K18" s="115" t="s">
        <v>26</v>
      </c>
      <c r="L18" s="117"/>
      <c r="M18" s="117"/>
      <c r="N18" s="105"/>
      <c r="O18" s="228">
        <v>6</v>
      </c>
      <c r="Q18" s="119" t="s">
        <v>177</v>
      </c>
      <c r="R18" s="119"/>
      <c r="S18" s="119"/>
    </row>
    <row r="19" spans="1:19" s="118" customFormat="1" ht="105">
      <c r="A19" s="105">
        <v>4</v>
      </c>
      <c r="B19" s="121" t="s">
        <v>182</v>
      </c>
      <c r="C19" s="117">
        <v>44512</v>
      </c>
      <c r="D19" s="107" t="s">
        <v>113</v>
      </c>
      <c r="E19" s="108" t="s">
        <v>183</v>
      </c>
      <c r="F19" s="105">
        <v>21500</v>
      </c>
      <c r="G19" s="140" t="s">
        <v>184</v>
      </c>
      <c r="H19" s="109">
        <f t="shared" si="0"/>
        <v>21500</v>
      </c>
      <c r="I19" s="109" t="s">
        <v>44</v>
      </c>
      <c r="J19" s="117">
        <v>44580</v>
      </c>
      <c r="K19" s="115" t="s">
        <v>26</v>
      </c>
      <c r="L19" s="117"/>
      <c r="M19" s="117"/>
      <c r="N19" s="105"/>
      <c r="O19" s="228">
        <v>7</v>
      </c>
      <c r="Q19" s="161" t="s">
        <v>181</v>
      </c>
      <c r="R19" s="119"/>
      <c r="S19" s="119"/>
    </row>
    <row r="20" spans="1:19" s="118" customFormat="1" ht="210">
      <c r="A20" s="105">
        <v>5</v>
      </c>
      <c r="B20" s="121" t="s">
        <v>336</v>
      </c>
      <c r="C20" s="117">
        <v>44517</v>
      </c>
      <c r="D20" s="107" t="s">
        <v>114</v>
      </c>
      <c r="E20" s="108" t="s">
        <v>337</v>
      </c>
      <c r="F20" s="105">
        <v>360</v>
      </c>
      <c r="G20" s="140" t="s">
        <v>338</v>
      </c>
      <c r="H20" s="109">
        <f t="shared" si="0"/>
        <v>360</v>
      </c>
      <c r="I20" s="109" t="s">
        <v>44</v>
      </c>
      <c r="J20" s="117">
        <v>44580</v>
      </c>
      <c r="K20" s="115" t="s">
        <v>26</v>
      </c>
      <c r="L20" s="117"/>
      <c r="M20" s="117"/>
      <c r="N20" s="108" t="s">
        <v>339</v>
      </c>
      <c r="O20" s="228">
        <v>8</v>
      </c>
      <c r="Q20" s="161"/>
      <c r="R20" s="119"/>
      <c r="S20" s="119"/>
    </row>
    <row r="21" spans="1:19" s="118" customFormat="1" ht="126">
      <c r="A21" s="105">
        <v>6</v>
      </c>
      <c r="B21" s="209" t="s">
        <v>350</v>
      </c>
      <c r="C21" s="288">
        <v>44526</v>
      </c>
      <c r="D21" s="210" t="s">
        <v>116</v>
      </c>
      <c r="E21" s="212" t="s">
        <v>351</v>
      </c>
      <c r="F21" s="265">
        <f>2970+3265</f>
        <v>6235</v>
      </c>
      <c r="G21" s="212" t="s">
        <v>352</v>
      </c>
      <c r="H21" s="208">
        <f t="shared" ref="H21" si="1">F21</f>
        <v>6235</v>
      </c>
      <c r="I21" s="208" t="s">
        <v>44</v>
      </c>
      <c r="J21" s="288">
        <v>44533</v>
      </c>
      <c r="K21" s="289" t="s">
        <v>26</v>
      </c>
      <c r="L21" s="288"/>
      <c r="M21" s="288"/>
      <c r="N21" s="212" t="s">
        <v>339</v>
      </c>
      <c r="O21" s="228">
        <v>8</v>
      </c>
      <c r="Q21" s="161"/>
      <c r="R21" s="119"/>
      <c r="S21" s="119"/>
    </row>
    <row r="22" spans="1:19" s="118" customFormat="1">
      <c r="A22" s="168"/>
      <c r="B22" s="165"/>
      <c r="C22" s="291"/>
      <c r="D22" s="166"/>
      <c r="E22" s="292"/>
      <c r="F22" s="168"/>
      <c r="G22" s="292"/>
      <c r="H22" s="171"/>
      <c r="I22" s="171"/>
      <c r="J22" s="291"/>
      <c r="K22" s="293"/>
      <c r="L22" s="291"/>
      <c r="M22" s="291"/>
      <c r="N22" s="292"/>
      <c r="O22" s="120"/>
      <c r="Q22" s="161"/>
      <c r="R22" s="119"/>
      <c r="S22" s="119"/>
    </row>
    <row r="23" spans="1:19" s="118" customFormat="1">
      <c r="B23" s="149"/>
      <c r="C23" s="150"/>
      <c r="D23" s="151"/>
      <c r="E23" s="120"/>
      <c r="G23" s="120"/>
      <c r="H23" s="126"/>
      <c r="I23" s="126"/>
      <c r="J23" s="150"/>
      <c r="K23" s="152"/>
      <c r="L23" s="150"/>
      <c r="M23" s="150"/>
      <c r="N23" s="120"/>
      <c r="O23" s="120"/>
      <c r="Q23" s="161"/>
      <c r="R23" s="119"/>
      <c r="S23" s="119"/>
    </row>
    <row r="24" spans="1:19" s="118" customFormat="1">
      <c r="B24" s="149"/>
      <c r="C24" s="150"/>
      <c r="D24" s="151"/>
      <c r="E24" s="120"/>
      <c r="G24" s="120"/>
      <c r="H24" s="126"/>
      <c r="I24" s="126"/>
      <c r="J24" s="150"/>
      <c r="K24" s="152"/>
      <c r="L24" s="150"/>
      <c r="M24" s="150"/>
      <c r="N24" s="120"/>
      <c r="O24" s="120"/>
      <c r="Q24" s="161"/>
      <c r="R24" s="119"/>
      <c r="S24" s="119"/>
    </row>
    <row r="25" spans="1:19" s="118" customFormat="1">
      <c r="B25" s="149"/>
      <c r="C25" s="150"/>
      <c r="D25" s="151"/>
      <c r="E25" s="120"/>
      <c r="G25" s="120"/>
      <c r="H25" s="126"/>
      <c r="I25" s="126"/>
      <c r="J25" s="150"/>
      <c r="K25" s="152"/>
      <c r="L25" s="150"/>
      <c r="M25" s="150"/>
      <c r="N25" s="120"/>
      <c r="O25" s="120"/>
      <c r="Q25" s="161"/>
      <c r="R25" s="119"/>
      <c r="S25" s="119"/>
    </row>
    <row r="26" spans="1:19" s="118" customFormat="1">
      <c r="B26" s="149"/>
      <c r="C26" s="150"/>
      <c r="D26" s="151"/>
      <c r="E26" s="120"/>
      <c r="G26" s="120"/>
      <c r="H26" s="126"/>
      <c r="I26" s="126"/>
      <c r="J26" s="150"/>
      <c r="K26" s="152"/>
      <c r="L26" s="150"/>
      <c r="M26" s="150"/>
      <c r="N26" s="120"/>
      <c r="O26" s="120"/>
      <c r="Q26" s="161"/>
      <c r="R26" s="119"/>
      <c r="S26" s="119"/>
    </row>
    <row r="27" spans="1:19" s="118" customFormat="1">
      <c r="B27" s="149"/>
      <c r="C27" s="150"/>
      <c r="D27" s="151"/>
      <c r="E27" s="120"/>
      <c r="G27" s="120"/>
      <c r="H27" s="126"/>
      <c r="I27" s="126"/>
      <c r="J27" s="150"/>
      <c r="K27" s="152"/>
      <c r="L27" s="150"/>
      <c r="M27" s="150"/>
      <c r="N27" s="120"/>
      <c r="O27" s="120"/>
      <c r="Q27" s="161"/>
      <c r="R27" s="119"/>
      <c r="S27" s="119"/>
    </row>
    <row r="28" spans="1:19" s="118" customFormat="1">
      <c r="B28" s="149"/>
      <c r="C28" s="150"/>
      <c r="D28" s="151"/>
      <c r="E28" s="120"/>
      <c r="G28" s="120"/>
      <c r="H28" s="126"/>
      <c r="I28" s="126"/>
      <c r="J28" s="150"/>
      <c r="K28" s="152"/>
      <c r="L28" s="150"/>
      <c r="M28" s="150"/>
      <c r="N28" s="120"/>
      <c r="O28" s="120"/>
      <c r="Q28" s="161"/>
      <c r="R28" s="119"/>
      <c r="S28" s="119"/>
    </row>
    <row r="29" spans="1:19" s="118" customFormat="1">
      <c r="B29" s="149"/>
      <c r="C29" s="150"/>
      <c r="D29" s="151"/>
      <c r="E29" s="120"/>
      <c r="G29" s="120"/>
      <c r="H29" s="126"/>
      <c r="I29" s="126"/>
      <c r="J29" s="150"/>
      <c r="K29" s="152"/>
      <c r="L29" s="150"/>
      <c r="M29" s="150"/>
      <c r="N29" s="120"/>
      <c r="O29" s="120"/>
      <c r="Q29" s="161"/>
      <c r="R29" s="119"/>
      <c r="S29" s="119"/>
    </row>
    <row r="30" spans="1:19" s="118" customFormat="1">
      <c r="B30" s="149"/>
      <c r="C30" s="150"/>
      <c r="D30" s="151"/>
      <c r="E30" s="120"/>
      <c r="G30" s="120"/>
      <c r="H30" s="126"/>
      <c r="I30" s="126"/>
      <c r="J30" s="150"/>
      <c r="K30" s="152"/>
      <c r="L30" s="150"/>
      <c r="M30" s="150"/>
      <c r="N30" s="120"/>
      <c r="O30" s="120"/>
      <c r="Q30" s="161"/>
      <c r="R30" s="119"/>
      <c r="S30" s="119"/>
    </row>
    <row r="31" spans="1:19" s="118" customFormat="1">
      <c r="B31" s="149"/>
      <c r="C31" s="150"/>
      <c r="D31" s="151"/>
      <c r="E31" s="120"/>
      <c r="G31" s="120"/>
      <c r="H31" s="126"/>
      <c r="I31" s="126"/>
      <c r="J31" s="150"/>
      <c r="K31" s="152"/>
      <c r="L31" s="150"/>
      <c r="M31" s="150"/>
      <c r="N31" s="120"/>
      <c r="O31" s="120"/>
      <c r="Q31" s="161"/>
      <c r="R31" s="119"/>
      <c r="S31" s="119"/>
    </row>
    <row r="32" spans="1:19" s="67" customFormat="1" ht="25.5" customHeight="1">
      <c r="A32" s="544" t="s">
        <v>582</v>
      </c>
      <c r="B32" s="545"/>
      <c r="C32" s="545"/>
      <c r="D32" s="545"/>
      <c r="E32" s="546"/>
      <c r="F32" s="64"/>
      <c r="G32" s="65"/>
      <c r="H32" s="64"/>
      <c r="I32" s="64"/>
      <c r="J32" s="64"/>
      <c r="K32" s="64"/>
      <c r="L32" s="65"/>
      <c r="M32" s="65"/>
      <c r="N32" s="66"/>
      <c r="O32" s="116"/>
      <c r="P32" s="116"/>
    </row>
    <row r="33" spans="1:19" s="476" customFormat="1" ht="147">
      <c r="A33" s="468">
        <v>1</v>
      </c>
      <c r="B33" s="469" t="s">
        <v>524</v>
      </c>
      <c r="C33" s="470">
        <v>44573</v>
      </c>
      <c r="D33" s="471" t="s">
        <v>117</v>
      </c>
      <c r="E33" s="472" t="s">
        <v>525</v>
      </c>
      <c r="F33" s="468">
        <v>7383</v>
      </c>
      <c r="G33" s="472" t="s">
        <v>536</v>
      </c>
      <c r="H33" s="473">
        <f t="shared" ref="H33" si="2">F33</f>
        <v>7383</v>
      </c>
      <c r="I33" s="473" t="s">
        <v>44</v>
      </c>
      <c r="J33" s="470">
        <v>44576</v>
      </c>
      <c r="K33" s="474" t="s">
        <v>68</v>
      </c>
      <c r="L33" s="470">
        <v>44574</v>
      </c>
      <c r="M33" s="470">
        <v>44574</v>
      </c>
      <c r="N33" s="474" t="s">
        <v>43</v>
      </c>
      <c r="O33" s="475">
        <v>8</v>
      </c>
      <c r="Q33" s="477"/>
      <c r="R33" s="478"/>
      <c r="S33" s="478"/>
    </row>
    <row r="34" spans="1:19" s="118" customFormat="1" ht="105">
      <c r="A34" s="105">
        <v>2</v>
      </c>
      <c r="B34" s="121" t="s">
        <v>580</v>
      </c>
      <c r="C34" s="117">
        <v>44579</v>
      </c>
      <c r="D34" s="107" t="s">
        <v>118</v>
      </c>
      <c r="E34" s="108" t="s">
        <v>379</v>
      </c>
      <c r="F34" s="105">
        <v>7500</v>
      </c>
      <c r="G34" s="108" t="s">
        <v>380</v>
      </c>
      <c r="H34" s="109">
        <f>F34</f>
        <v>7500</v>
      </c>
      <c r="I34" s="109" t="s">
        <v>44</v>
      </c>
      <c r="J34" s="117">
        <v>44586</v>
      </c>
      <c r="K34" s="115" t="s">
        <v>26</v>
      </c>
      <c r="L34" s="117">
        <v>44579</v>
      </c>
      <c r="M34" s="117">
        <v>44579</v>
      </c>
      <c r="N34" s="105"/>
      <c r="O34" s="120">
        <v>1</v>
      </c>
      <c r="Q34" s="120"/>
      <c r="R34" s="119"/>
      <c r="S34" s="119"/>
    </row>
    <row r="35" spans="1:19" s="118" customFormat="1" ht="126">
      <c r="A35" s="153">
        <v>3</v>
      </c>
      <c r="B35" s="154" t="s">
        <v>548</v>
      </c>
      <c r="C35" s="155">
        <v>44586</v>
      </c>
      <c r="D35" s="156" t="s">
        <v>119</v>
      </c>
      <c r="E35" s="157" t="s">
        <v>554</v>
      </c>
      <c r="F35" s="153">
        <v>2350</v>
      </c>
      <c r="G35" s="157" t="s">
        <v>555</v>
      </c>
      <c r="H35" s="158">
        <f t="shared" ref="H35" si="3">F35</f>
        <v>2350</v>
      </c>
      <c r="I35" s="158" t="s">
        <v>44</v>
      </c>
      <c r="J35" s="155">
        <v>44594</v>
      </c>
      <c r="K35" s="159" t="s">
        <v>37</v>
      </c>
      <c r="L35" s="155">
        <v>44594</v>
      </c>
      <c r="M35" s="155">
        <v>44594</v>
      </c>
      <c r="N35" s="159" t="s">
        <v>43</v>
      </c>
      <c r="O35" s="228"/>
      <c r="Q35" s="161"/>
      <c r="R35" s="119"/>
      <c r="S35" s="119"/>
    </row>
    <row r="44" spans="1:19" s="67" customFormat="1" ht="25.5" customHeight="1">
      <c r="A44" s="544" t="s">
        <v>616</v>
      </c>
      <c r="B44" s="545"/>
      <c r="C44" s="545"/>
      <c r="D44" s="545"/>
      <c r="E44" s="546"/>
      <c r="F44" s="64"/>
      <c r="G44" s="65"/>
      <c r="H44" s="64"/>
      <c r="I44" s="64"/>
      <c r="J44" s="64"/>
      <c r="K44" s="64"/>
      <c r="L44" s="65"/>
      <c r="M44" s="65"/>
      <c r="N44" s="66"/>
      <c r="O44" s="116"/>
      <c r="P44" s="116"/>
    </row>
    <row r="45" spans="1:19" s="118" customFormat="1" ht="126">
      <c r="A45" s="153">
        <v>1</v>
      </c>
      <c r="B45" s="154" t="s">
        <v>585</v>
      </c>
      <c r="C45" s="155">
        <v>44595</v>
      </c>
      <c r="D45" s="156" t="s">
        <v>120</v>
      </c>
      <c r="E45" s="157" t="s">
        <v>593</v>
      </c>
      <c r="F45" s="153">
        <f>850*2</f>
        <v>1700</v>
      </c>
      <c r="G45" s="212" t="s">
        <v>352</v>
      </c>
      <c r="H45" s="158">
        <f t="shared" ref="H45" si="4">F45</f>
        <v>1700</v>
      </c>
      <c r="I45" s="158" t="s">
        <v>44</v>
      </c>
      <c r="J45" s="155">
        <v>44602</v>
      </c>
      <c r="K45" s="159" t="s">
        <v>26</v>
      </c>
      <c r="L45" s="155">
        <v>44602</v>
      </c>
      <c r="M45" s="155">
        <v>44602</v>
      </c>
      <c r="N45" s="159"/>
      <c r="O45" s="228"/>
      <c r="Q45" s="161"/>
      <c r="R45" s="119"/>
      <c r="S45" s="119"/>
    </row>
    <row r="46" spans="1:19" s="118" customFormat="1" ht="105">
      <c r="A46" s="153">
        <v>2</v>
      </c>
      <c r="B46" s="154" t="s">
        <v>596</v>
      </c>
      <c r="C46" s="155">
        <v>44602</v>
      </c>
      <c r="D46" s="156" t="s">
        <v>121</v>
      </c>
      <c r="E46" s="157" t="s">
        <v>594</v>
      </c>
      <c r="F46" s="153">
        <v>22250</v>
      </c>
      <c r="G46" s="212" t="s">
        <v>595</v>
      </c>
      <c r="H46" s="158">
        <f t="shared" ref="H46" si="5">F46</f>
        <v>22250</v>
      </c>
      <c r="I46" s="158" t="s">
        <v>44</v>
      </c>
      <c r="J46" s="155">
        <v>44614</v>
      </c>
      <c r="K46" s="159" t="s">
        <v>37</v>
      </c>
      <c r="L46" s="155">
        <v>44606</v>
      </c>
      <c r="M46" s="155">
        <v>44606</v>
      </c>
      <c r="N46" s="159"/>
      <c r="O46" s="228"/>
      <c r="Q46" s="161"/>
      <c r="R46" s="119"/>
      <c r="S46" s="119"/>
    </row>
    <row r="47" spans="1:19" s="118" customFormat="1" ht="126">
      <c r="A47" s="153">
        <v>3</v>
      </c>
      <c r="B47" s="154" t="s">
        <v>597</v>
      </c>
      <c r="C47" s="155">
        <v>44609</v>
      </c>
      <c r="D47" s="156" t="s">
        <v>122</v>
      </c>
      <c r="E47" s="157" t="s">
        <v>598</v>
      </c>
      <c r="F47" s="153">
        <v>500</v>
      </c>
      <c r="G47" s="157" t="s">
        <v>555</v>
      </c>
      <c r="H47" s="158">
        <f t="shared" ref="H47" si="6">F47</f>
        <v>500</v>
      </c>
      <c r="I47" s="158" t="s">
        <v>44</v>
      </c>
      <c r="J47" s="155">
        <v>44616</v>
      </c>
      <c r="K47" s="159" t="s">
        <v>38</v>
      </c>
      <c r="L47" s="155">
        <v>44613</v>
      </c>
      <c r="M47" s="155">
        <v>44613</v>
      </c>
      <c r="N47" s="159"/>
      <c r="O47" s="228" t="s">
        <v>627</v>
      </c>
      <c r="Q47" s="161"/>
      <c r="R47" s="119"/>
      <c r="S47" s="119"/>
    </row>
    <row r="57" spans="1:19" s="67" customFormat="1" ht="25.5" customHeight="1">
      <c r="A57" s="550" t="s">
        <v>647</v>
      </c>
      <c r="B57" s="551"/>
      <c r="C57" s="551"/>
      <c r="D57" s="551"/>
      <c r="E57" s="552"/>
      <c r="F57" s="340"/>
      <c r="G57" s="341"/>
      <c r="H57" s="340"/>
      <c r="I57" s="340"/>
      <c r="J57" s="340"/>
      <c r="K57" s="340"/>
      <c r="L57" s="341"/>
      <c r="M57" s="341"/>
      <c r="N57" s="342"/>
      <c r="O57" s="116"/>
      <c r="P57" s="116"/>
    </row>
    <row r="58" spans="1:19" s="118" customFormat="1" ht="126">
      <c r="A58" s="335">
        <v>1</v>
      </c>
      <c r="B58" s="230" t="s">
        <v>642</v>
      </c>
      <c r="C58" s="343">
        <v>44621</v>
      </c>
      <c r="D58" s="231" t="s">
        <v>123</v>
      </c>
      <c r="E58" s="233" t="s">
        <v>643</v>
      </c>
      <c r="F58" s="335">
        <v>1190</v>
      </c>
      <c r="G58" s="233" t="s">
        <v>555</v>
      </c>
      <c r="H58" s="229">
        <f t="shared" ref="H58" si="7">F58</f>
        <v>1190</v>
      </c>
      <c r="I58" s="229" t="s">
        <v>44</v>
      </c>
      <c r="J58" s="343">
        <v>44626</v>
      </c>
      <c r="K58" s="344" t="s">
        <v>37</v>
      </c>
      <c r="L58" s="343">
        <v>44624</v>
      </c>
      <c r="M58" s="343">
        <v>44624</v>
      </c>
      <c r="N58" s="344"/>
      <c r="O58" s="228"/>
      <c r="Q58" s="161"/>
      <c r="R58" s="119"/>
      <c r="S58" s="119"/>
    </row>
    <row r="59" spans="1:19" s="118" customFormat="1" ht="105">
      <c r="A59" s="153">
        <v>2</v>
      </c>
      <c r="B59" s="154" t="s">
        <v>637</v>
      </c>
      <c r="C59" s="155">
        <v>44638</v>
      </c>
      <c r="D59" s="156" t="s">
        <v>125</v>
      </c>
      <c r="E59" s="157" t="s">
        <v>638</v>
      </c>
      <c r="F59" s="153">
        <v>7500</v>
      </c>
      <c r="G59" s="140" t="s">
        <v>639</v>
      </c>
      <c r="H59" s="158">
        <f>F59</f>
        <v>7500</v>
      </c>
      <c r="I59" s="158" t="s">
        <v>44</v>
      </c>
      <c r="J59" s="155">
        <v>44645</v>
      </c>
      <c r="K59" s="159" t="s">
        <v>38</v>
      </c>
      <c r="L59" s="155">
        <v>44644</v>
      </c>
      <c r="M59" s="155">
        <v>44644</v>
      </c>
      <c r="N59" s="159"/>
      <c r="O59" s="228"/>
      <c r="Q59" s="161"/>
      <c r="R59" s="119"/>
      <c r="S59" s="119"/>
    </row>
    <row r="60" spans="1:19" s="118" customFormat="1" ht="105">
      <c r="A60" s="153">
        <v>3</v>
      </c>
      <c r="B60" s="154" t="s">
        <v>635</v>
      </c>
      <c r="C60" s="155">
        <v>44638</v>
      </c>
      <c r="D60" s="156" t="s">
        <v>90</v>
      </c>
      <c r="E60" s="157" t="s">
        <v>636</v>
      </c>
      <c r="F60" s="153">
        <v>400</v>
      </c>
      <c r="G60" s="140" t="s">
        <v>338</v>
      </c>
      <c r="H60" s="158">
        <f t="shared" ref="H60" si="8">F60</f>
        <v>400</v>
      </c>
      <c r="I60" s="158" t="s">
        <v>44</v>
      </c>
      <c r="J60" s="155">
        <v>44645</v>
      </c>
      <c r="K60" s="159" t="s">
        <v>37</v>
      </c>
      <c r="L60" s="155">
        <v>44641</v>
      </c>
      <c r="M60" s="155">
        <v>44641</v>
      </c>
      <c r="N60" s="159"/>
      <c r="O60" s="228"/>
      <c r="Q60" s="161"/>
      <c r="R60" s="119"/>
      <c r="S60" s="119"/>
    </row>
    <row r="61" spans="1:19" s="118" customFormat="1" ht="84">
      <c r="A61" s="153">
        <v>4</v>
      </c>
      <c r="B61" s="154" t="s">
        <v>644</v>
      </c>
      <c r="C61" s="155">
        <v>44642</v>
      </c>
      <c r="D61" s="156" t="s">
        <v>91</v>
      </c>
      <c r="E61" s="157" t="s">
        <v>645</v>
      </c>
      <c r="F61" s="153">
        <v>600</v>
      </c>
      <c r="G61" s="203" t="s">
        <v>883</v>
      </c>
      <c r="H61" s="158">
        <f t="shared" ref="H61" si="9">F61</f>
        <v>600</v>
      </c>
      <c r="I61" s="158" t="s">
        <v>44</v>
      </c>
      <c r="J61" s="155">
        <v>44649</v>
      </c>
      <c r="K61" s="159" t="s">
        <v>37</v>
      </c>
      <c r="L61" s="155">
        <v>44644</v>
      </c>
      <c r="M61" s="155">
        <v>44644</v>
      </c>
      <c r="N61" s="159"/>
      <c r="O61" s="228"/>
      <c r="Q61" s="161"/>
      <c r="R61" s="119"/>
      <c r="S61" s="119"/>
    </row>
    <row r="62" spans="1:19" s="118" customFormat="1">
      <c r="A62" s="368"/>
      <c r="B62" s="165"/>
      <c r="C62" s="291"/>
      <c r="D62" s="166"/>
      <c r="E62" s="292"/>
      <c r="F62" s="168"/>
      <c r="G62" s="369"/>
      <c r="H62" s="171"/>
      <c r="I62" s="171"/>
      <c r="J62" s="291"/>
      <c r="K62" s="293"/>
      <c r="L62" s="291"/>
      <c r="M62" s="291"/>
      <c r="N62" s="293"/>
      <c r="O62" s="120"/>
      <c r="Q62" s="161"/>
      <c r="R62" s="119"/>
      <c r="S62" s="119"/>
    </row>
    <row r="63" spans="1:19" s="118" customFormat="1">
      <c r="A63" s="368"/>
      <c r="B63" s="149"/>
      <c r="C63" s="150"/>
      <c r="D63" s="151"/>
      <c r="E63" s="120"/>
      <c r="G63" s="179"/>
      <c r="H63" s="126"/>
      <c r="I63" s="126"/>
      <c r="J63" s="150"/>
      <c r="K63" s="152"/>
      <c r="L63" s="150"/>
      <c r="M63" s="150"/>
      <c r="N63" s="152"/>
      <c r="O63" s="120"/>
      <c r="Q63" s="161"/>
      <c r="R63" s="119"/>
      <c r="S63" s="119"/>
    </row>
    <row r="64" spans="1:19" s="118" customFormat="1">
      <c r="A64" s="368"/>
      <c r="B64" s="149"/>
      <c r="C64" s="150"/>
      <c r="D64" s="151"/>
      <c r="E64" s="120"/>
      <c r="G64" s="179"/>
      <c r="H64" s="126"/>
      <c r="I64" s="126"/>
      <c r="J64" s="150"/>
      <c r="K64" s="152"/>
      <c r="L64" s="150"/>
      <c r="M64" s="150"/>
      <c r="N64" s="152"/>
      <c r="O64" s="120"/>
      <c r="Q64" s="161"/>
      <c r="R64" s="119"/>
      <c r="S64" s="119"/>
    </row>
    <row r="65" spans="1:19" s="118" customFormat="1">
      <c r="A65" s="368"/>
      <c r="B65" s="149"/>
      <c r="C65" s="150"/>
      <c r="D65" s="151"/>
      <c r="E65" s="120"/>
      <c r="G65" s="179"/>
      <c r="H65" s="126"/>
      <c r="I65" s="126"/>
      <c r="J65" s="150"/>
      <c r="K65" s="152"/>
      <c r="L65" s="150"/>
      <c r="M65" s="150"/>
      <c r="N65" s="152"/>
      <c r="O65" s="120"/>
      <c r="Q65" s="161"/>
      <c r="R65" s="119"/>
      <c r="S65" s="119"/>
    </row>
    <row r="66" spans="1:19" s="118" customFormat="1">
      <c r="A66" s="368"/>
      <c r="B66" s="149"/>
      <c r="C66" s="150"/>
      <c r="D66" s="151"/>
      <c r="E66" s="120"/>
      <c r="G66" s="179"/>
      <c r="H66" s="126"/>
      <c r="I66" s="126"/>
      <c r="J66" s="150"/>
      <c r="K66" s="152"/>
      <c r="L66" s="150"/>
      <c r="M66" s="150"/>
      <c r="N66" s="152"/>
      <c r="O66" s="120"/>
      <c r="Q66" s="161"/>
      <c r="R66" s="119"/>
      <c r="S66" s="119"/>
    </row>
    <row r="67" spans="1:19" s="118" customFormat="1">
      <c r="A67" s="368"/>
      <c r="B67" s="149"/>
      <c r="C67" s="150"/>
      <c r="D67" s="151"/>
      <c r="E67" s="120"/>
      <c r="G67" s="179"/>
      <c r="H67" s="126"/>
      <c r="I67" s="126"/>
      <c r="J67" s="150"/>
      <c r="K67" s="152"/>
      <c r="L67" s="150"/>
      <c r="M67" s="150"/>
      <c r="N67" s="152"/>
      <c r="O67" s="120"/>
      <c r="Q67" s="161"/>
      <c r="R67" s="119"/>
      <c r="S67" s="119"/>
    </row>
    <row r="68" spans="1:19" s="67" customFormat="1" ht="25.5" customHeight="1">
      <c r="A68" s="549" t="s">
        <v>750</v>
      </c>
      <c r="B68" s="549"/>
      <c r="C68" s="549"/>
      <c r="D68" s="549"/>
      <c r="E68" s="549"/>
      <c r="F68" s="375"/>
      <c r="G68" s="376"/>
      <c r="H68" s="375"/>
      <c r="I68" s="375"/>
      <c r="J68" s="375"/>
      <c r="K68" s="375"/>
      <c r="L68" s="376"/>
      <c r="M68" s="376"/>
      <c r="N68" s="76"/>
      <c r="O68" s="116"/>
      <c r="P68" s="116"/>
    </row>
    <row r="69" spans="1:19" s="59" customFormat="1" ht="25.5" customHeight="1">
      <c r="A69" s="54" t="s">
        <v>0</v>
      </c>
      <c r="B69" s="55" t="s">
        <v>21</v>
      </c>
      <c r="C69" s="54" t="s">
        <v>14</v>
      </c>
      <c r="D69" s="54" t="s">
        <v>16</v>
      </c>
      <c r="E69" s="536" t="s">
        <v>2</v>
      </c>
      <c r="F69" s="54" t="s">
        <v>19</v>
      </c>
      <c r="G69" s="536" t="s">
        <v>40</v>
      </c>
      <c r="H69" s="54" t="s">
        <v>6</v>
      </c>
      <c r="I69" s="54" t="s">
        <v>8</v>
      </c>
      <c r="J69" s="54" t="s">
        <v>10</v>
      </c>
      <c r="K69" s="54" t="s">
        <v>11</v>
      </c>
      <c r="L69" s="536" t="s">
        <v>13</v>
      </c>
      <c r="M69" s="536" t="s">
        <v>39</v>
      </c>
      <c r="N69" s="57" t="s">
        <v>63</v>
      </c>
      <c r="O69" s="58"/>
      <c r="P69" s="58"/>
    </row>
    <row r="70" spans="1:19" s="59" customFormat="1" ht="25.5" customHeight="1">
      <c r="A70" s="60" t="s">
        <v>1</v>
      </c>
      <c r="B70" s="61" t="s">
        <v>22</v>
      </c>
      <c r="C70" s="60" t="s">
        <v>5</v>
      </c>
      <c r="D70" s="60" t="s">
        <v>4</v>
      </c>
      <c r="E70" s="537"/>
      <c r="F70" s="60" t="s">
        <v>20</v>
      </c>
      <c r="G70" s="537"/>
      <c r="H70" s="60" t="s">
        <v>7</v>
      </c>
      <c r="I70" s="60" t="s">
        <v>9</v>
      </c>
      <c r="J70" s="60" t="s">
        <v>14</v>
      </c>
      <c r="K70" s="60" t="s">
        <v>12</v>
      </c>
      <c r="L70" s="537"/>
      <c r="M70" s="537"/>
      <c r="N70" s="63" t="s">
        <v>64</v>
      </c>
      <c r="O70" s="58"/>
      <c r="P70" s="58"/>
    </row>
    <row r="71" spans="1:19" s="126" customFormat="1">
      <c r="A71" s="229" t="s">
        <v>751</v>
      </c>
      <c r="B71" s="230" t="s">
        <v>752</v>
      </c>
      <c r="C71" s="232" t="s">
        <v>752</v>
      </c>
      <c r="D71" s="231" t="s">
        <v>752</v>
      </c>
      <c r="E71" s="344" t="s">
        <v>752</v>
      </c>
      <c r="F71" s="229" t="s">
        <v>752</v>
      </c>
      <c r="G71" s="344" t="s">
        <v>752</v>
      </c>
      <c r="H71" s="229" t="s">
        <v>752</v>
      </c>
      <c r="I71" s="229" t="s">
        <v>752</v>
      </c>
      <c r="J71" s="232" t="s">
        <v>752</v>
      </c>
      <c r="K71" s="344" t="s">
        <v>752</v>
      </c>
      <c r="L71" s="232" t="s">
        <v>752</v>
      </c>
      <c r="M71" s="232" t="s">
        <v>752</v>
      </c>
      <c r="N71" s="344" t="s">
        <v>752</v>
      </c>
      <c r="O71" s="377"/>
      <c r="Q71" s="378"/>
      <c r="R71" s="323"/>
      <c r="S71" s="323"/>
    </row>
    <row r="72" spans="1:19" s="118" customFormat="1">
      <c r="A72" s="168"/>
      <c r="B72" s="165"/>
      <c r="C72" s="291"/>
      <c r="D72" s="166"/>
      <c r="E72" s="292"/>
      <c r="F72" s="168"/>
      <c r="G72" s="292"/>
      <c r="H72" s="171"/>
      <c r="I72" s="171"/>
      <c r="J72" s="291"/>
      <c r="K72" s="293"/>
      <c r="L72" s="291"/>
      <c r="M72" s="291"/>
      <c r="N72" s="293"/>
      <c r="O72" s="120"/>
      <c r="Q72" s="161"/>
      <c r="R72" s="119"/>
      <c r="S72" s="119"/>
    </row>
    <row r="73" spans="1:19" s="118" customFormat="1">
      <c r="B73" s="149"/>
      <c r="C73" s="150"/>
      <c r="D73" s="151"/>
      <c r="E73" s="120"/>
      <c r="G73" s="120"/>
      <c r="H73" s="126"/>
      <c r="I73" s="126"/>
      <c r="J73" s="150"/>
      <c r="K73" s="152"/>
      <c r="L73" s="150"/>
      <c r="M73" s="150"/>
      <c r="N73" s="152"/>
      <c r="O73" s="120"/>
      <c r="Q73" s="161"/>
      <c r="R73" s="119"/>
      <c r="S73" s="119"/>
    </row>
    <row r="74" spans="1:19" s="118" customFormat="1">
      <c r="B74" s="149"/>
      <c r="C74" s="150"/>
      <c r="D74" s="151"/>
      <c r="E74" s="120"/>
      <c r="G74" s="120"/>
      <c r="H74" s="126"/>
      <c r="I74" s="126"/>
      <c r="J74" s="150"/>
      <c r="K74" s="152"/>
      <c r="L74" s="150"/>
      <c r="M74" s="150"/>
      <c r="N74" s="152"/>
      <c r="O74" s="120"/>
      <c r="Q74" s="161"/>
      <c r="R74" s="119"/>
      <c r="S74" s="119"/>
    </row>
    <row r="75" spans="1:19" s="118" customFormat="1">
      <c r="B75" s="149"/>
      <c r="C75" s="150"/>
      <c r="D75" s="151"/>
      <c r="E75" s="120"/>
      <c r="G75" s="120"/>
      <c r="H75" s="126"/>
      <c r="I75" s="126"/>
      <c r="J75" s="150"/>
      <c r="K75" s="152"/>
      <c r="L75" s="150"/>
      <c r="M75" s="150"/>
      <c r="N75" s="152"/>
      <c r="O75" s="120"/>
      <c r="Q75" s="161"/>
      <c r="R75" s="119"/>
      <c r="S75" s="119"/>
    </row>
    <row r="76" spans="1:19" s="118" customFormat="1">
      <c r="B76" s="149"/>
      <c r="C76" s="150"/>
      <c r="D76" s="151"/>
      <c r="E76" s="120"/>
      <c r="G76" s="120"/>
      <c r="H76" s="126"/>
      <c r="I76" s="126"/>
      <c r="J76" s="150"/>
      <c r="K76" s="152"/>
      <c r="L76" s="150"/>
      <c r="M76" s="150"/>
      <c r="N76" s="152"/>
      <c r="O76" s="120"/>
      <c r="Q76" s="161"/>
      <c r="R76" s="119"/>
      <c r="S76" s="119"/>
    </row>
    <row r="77" spans="1:19" s="118" customFormat="1">
      <c r="B77" s="149"/>
      <c r="C77" s="150"/>
      <c r="D77" s="151"/>
      <c r="E77" s="120"/>
      <c r="G77" s="120"/>
      <c r="H77" s="126"/>
      <c r="I77" s="126"/>
      <c r="J77" s="150"/>
      <c r="K77" s="152"/>
      <c r="L77" s="150"/>
      <c r="M77" s="150"/>
      <c r="N77" s="152"/>
      <c r="O77" s="120"/>
      <c r="Q77" s="161"/>
      <c r="R77" s="119"/>
      <c r="S77" s="119"/>
    </row>
    <row r="78" spans="1:19" s="118" customFormat="1">
      <c r="B78" s="149"/>
      <c r="C78" s="150"/>
      <c r="D78" s="151"/>
      <c r="E78" s="120"/>
      <c r="G78" s="120"/>
      <c r="H78" s="126"/>
      <c r="I78" s="126"/>
      <c r="J78" s="150"/>
      <c r="K78" s="152"/>
      <c r="L78" s="150"/>
      <c r="M78" s="150"/>
      <c r="N78" s="152"/>
      <c r="O78" s="120"/>
      <c r="Q78" s="161"/>
      <c r="R78" s="119"/>
      <c r="S78" s="119"/>
    </row>
    <row r="79" spans="1:19" s="118" customFormat="1">
      <c r="B79" s="149"/>
      <c r="C79" s="150"/>
      <c r="D79" s="151"/>
      <c r="E79" s="120"/>
      <c r="G79" s="120"/>
      <c r="H79" s="126"/>
      <c r="I79" s="126"/>
      <c r="J79" s="150"/>
      <c r="K79" s="152"/>
      <c r="L79" s="150"/>
      <c r="M79" s="150"/>
      <c r="N79" s="152"/>
      <c r="O79" s="120"/>
      <c r="Q79" s="161"/>
      <c r="R79" s="119"/>
      <c r="S79" s="119"/>
    </row>
    <row r="80" spans="1:19" s="118" customFormat="1">
      <c r="B80" s="149"/>
      <c r="C80" s="150"/>
      <c r="D80" s="151"/>
      <c r="E80" s="120"/>
      <c r="G80" s="120"/>
      <c r="H80" s="126"/>
      <c r="I80" s="126"/>
      <c r="J80" s="150"/>
      <c r="K80" s="152"/>
      <c r="L80" s="150"/>
      <c r="M80" s="150"/>
      <c r="N80" s="152"/>
      <c r="O80" s="120"/>
      <c r="Q80" s="161"/>
      <c r="R80" s="119"/>
      <c r="S80" s="119"/>
    </row>
    <row r="81" spans="1:19" s="118" customFormat="1">
      <c r="B81" s="149"/>
      <c r="C81" s="150"/>
      <c r="D81" s="151"/>
      <c r="E81" s="120"/>
      <c r="G81" s="120"/>
      <c r="H81" s="126"/>
      <c r="I81" s="126"/>
      <c r="J81" s="150"/>
      <c r="K81" s="152"/>
      <c r="L81" s="150"/>
      <c r="M81" s="150"/>
      <c r="N81" s="152"/>
      <c r="O81" s="120"/>
      <c r="Q81" s="161"/>
      <c r="R81" s="119"/>
      <c r="S81" s="119"/>
    </row>
    <row r="82" spans="1:19" s="118" customFormat="1">
      <c r="B82" s="149"/>
      <c r="C82" s="150"/>
      <c r="D82" s="151"/>
      <c r="E82" s="120"/>
      <c r="G82" s="120"/>
      <c r="H82" s="126"/>
      <c r="I82" s="126"/>
      <c r="J82" s="150"/>
      <c r="K82" s="152"/>
      <c r="L82" s="150"/>
      <c r="M82" s="150"/>
      <c r="N82" s="152"/>
      <c r="O82" s="120"/>
      <c r="Q82" s="161"/>
      <c r="R82" s="119"/>
      <c r="S82" s="119"/>
    </row>
    <row r="83" spans="1:19" s="118" customFormat="1">
      <c r="B83" s="149"/>
      <c r="C83" s="150"/>
      <c r="D83" s="151"/>
      <c r="E83" s="120"/>
      <c r="G83" s="120"/>
      <c r="H83" s="126"/>
      <c r="I83" s="126"/>
      <c r="J83" s="150"/>
      <c r="K83" s="152"/>
      <c r="L83" s="150"/>
      <c r="M83" s="150"/>
      <c r="N83" s="152"/>
      <c r="O83" s="120"/>
      <c r="Q83" s="161"/>
      <c r="R83" s="119"/>
      <c r="S83" s="119"/>
    </row>
    <row r="84" spans="1:19" s="118" customFormat="1">
      <c r="B84" s="149"/>
      <c r="C84" s="150"/>
      <c r="D84" s="151"/>
      <c r="E84" s="120"/>
      <c r="G84" s="120"/>
      <c r="H84" s="126"/>
      <c r="I84" s="126"/>
      <c r="J84" s="150"/>
      <c r="K84" s="152"/>
      <c r="L84" s="150"/>
      <c r="M84" s="150"/>
      <c r="N84" s="152"/>
      <c r="O84" s="120"/>
      <c r="Q84" s="161"/>
      <c r="R84" s="119"/>
      <c r="S84" s="119"/>
    </row>
    <row r="85" spans="1:19" s="118" customFormat="1">
      <c r="B85" s="149"/>
      <c r="C85" s="150"/>
      <c r="D85" s="151"/>
      <c r="E85" s="120"/>
      <c r="G85" s="120"/>
      <c r="H85" s="126"/>
      <c r="I85" s="126"/>
      <c r="J85" s="150"/>
      <c r="K85" s="152"/>
      <c r="L85" s="150"/>
      <c r="M85" s="150"/>
      <c r="N85" s="152"/>
      <c r="O85" s="120"/>
      <c r="Q85" s="161"/>
      <c r="R85" s="119"/>
      <c r="S85" s="119"/>
    </row>
    <row r="86" spans="1:19" s="118" customFormat="1">
      <c r="B86" s="149"/>
      <c r="C86" s="150"/>
      <c r="D86" s="151"/>
      <c r="E86" s="120"/>
      <c r="G86" s="120"/>
      <c r="H86" s="126"/>
      <c r="I86" s="126"/>
      <c r="J86" s="150"/>
      <c r="K86" s="152"/>
      <c r="L86" s="150"/>
      <c r="M86" s="150"/>
      <c r="N86" s="152"/>
      <c r="O86" s="120"/>
      <c r="Q86" s="161"/>
      <c r="R86" s="119"/>
      <c r="S86" s="119"/>
    </row>
    <row r="87" spans="1:19" s="118" customFormat="1">
      <c r="B87" s="149"/>
      <c r="C87" s="150"/>
      <c r="D87" s="151"/>
      <c r="E87" s="120"/>
      <c r="G87" s="120"/>
      <c r="H87" s="126"/>
      <c r="I87" s="126"/>
      <c r="J87" s="150"/>
      <c r="K87" s="152"/>
      <c r="L87" s="150"/>
      <c r="M87" s="150"/>
      <c r="N87" s="152"/>
      <c r="O87" s="120"/>
      <c r="Q87" s="161"/>
      <c r="R87" s="119"/>
      <c r="S87" s="119"/>
    </row>
    <row r="88" spans="1:19" s="118" customFormat="1">
      <c r="B88" s="149"/>
      <c r="C88" s="150"/>
      <c r="D88" s="151"/>
      <c r="E88" s="120"/>
      <c r="G88" s="120"/>
      <c r="H88" s="126"/>
      <c r="I88" s="126"/>
      <c r="J88" s="150"/>
      <c r="K88" s="152"/>
      <c r="L88" s="150"/>
      <c r="M88" s="150"/>
      <c r="N88" s="152"/>
      <c r="O88" s="120"/>
      <c r="Q88" s="161"/>
      <c r="R88" s="119"/>
      <c r="S88" s="119"/>
    </row>
    <row r="89" spans="1:19" s="118" customFormat="1">
      <c r="B89" s="149"/>
      <c r="C89" s="150"/>
      <c r="D89" s="151"/>
      <c r="E89" s="120"/>
      <c r="G89" s="120"/>
      <c r="H89" s="126"/>
      <c r="I89" s="126"/>
      <c r="J89" s="150"/>
      <c r="K89" s="152"/>
      <c r="L89" s="150"/>
      <c r="M89" s="150"/>
      <c r="N89" s="152"/>
      <c r="O89" s="120"/>
      <c r="Q89" s="161"/>
      <c r="R89" s="119"/>
      <c r="S89" s="119"/>
    </row>
    <row r="90" spans="1:19" s="118" customFormat="1">
      <c r="B90" s="149"/>
      <c r="C90" s="150"/>
      <c r="D90" s="151"/>
      <c r="E90" s="120"/>
      <c r="G90" s="120"/>
      <c r="H90" s="126"/>
      <c r="I90" s="126"/>
      <c r="J90" s="150"/>
      <c r="K90" s="152"/>
      <c r="L90" s="150"/>
      <c r="M90" s="150"/>
      <c r="N90" s="152"/>
      <c r="O90" s="120"/>
      <c r="Q90" s="161"/>
      <c r="R90" s="119"/>
      <c r="S90" s="119"/>
    </row>
    <row r="91" spans="1:19" s="67" customFormat="1" ht="25.5" customHeight="1">
      <c r="A91" s="548" t="s">
        <v>868</v>
      </c>
      <c r="B91" s="548"/>
      <c r="C91" s="548"/>
      <c r="D91" s="548"/>
      <c r="E91" s="548"/>
      <c r="F91" s="52"/>
      <c r="G91" s="374"/>
      <c r="H91" s="52"/>
      <c r="I91" s="52"/>
      <c r="J91" s="52"/>
      <c r="K91" s="52"/>
      <c r="L91" s="374"/>
      <c r="M91" s="374"/>
      <c r="N91" s="76"/>
      <c r="O91" s="116"/>
      <c r="P91" s="116"/>
    </row>
    <row r="92" spans="1:19" s="118" customFormat="1" ht="168">
      <c r="A92" s="335">
        <v>1</v>
      </c>
      <c r="B92" s="230" t="s">
        <v>755</v>
      </c>
      <c r="C92" s="343">
        <v>44687</v>
      </c>
      <c r="D92" s="231" t="s">
        <v>92</v>
      </c>
      <c r="E92" s="233" t="s">
        <v>756</v>
      </c>
      <c r="F92" s="335">
        <f>500+500+990+1200</f>
        <v>3190</v>
      </c>
      <c r="G92" s="233" t="s">
        <v>555</v>
      </c>
      <c r="H92" s="229">
        <f t="shared" ref="H92" si="10">F92</f>
        <v>3190</v>
      </c>
      <c r="I92" s="229" t="s">
        <v>44</v>
      </c>
      <c r="J92" s="343">
        <v>44698</v>
      </c>
      <c r="K92" s="344" t="s">
        <v>37</v>
      </c>
      <c r="L92" s="343">
        <v>44692</v>
      </c>
      <c r="M92" s="343">
        <v>44692</v>
      </c>
      <c r="N92" s="344"/>
      <c r="O92" s="228"/>
      <c r="Q92" s="161"/>
      <c r="R92" s="119"/>
      <c r="S92" s="119"/>
    </row>
    <row r="93" spans="1:19" s="118" customFormat="1" ht="126">
      <c r="A93" s="335">
        <v>2</v>
      </c>
      <c r="B93" s="230" t="s">
        <v>753</v>
      </c>
      <c r="C93" s="343">
        <v>44687</v>
      </c>
      <c r="D93" s="231" t="s">
        <v>93</v>
      </c>
      <c r="E93" s="233" t="s">
        <v>748</v>
      </c>
      <c r="F93" s="335">
        <v>250</v>
      </c>
      <c r="G93" s="233" t="s">
        <v>754</v>
      </c>
      <c r="H93" s="229">
        <f t="shared" ref="H93" si="11">F93</f>
        <v>250</v>
      </c>
      <c r="I93" s="229" t="s">
        <v>44</v>
      </c>
      <c r="J93" s="343">
        <v>44698</v>
      </c>
      <c r="K93" s="344" t="s">
        <v>37</v>
      </c>
      <c r="L93" s="343">
        <v>44690</v>
      </c>
      <c r="M93" s="343">
        <v>44690</v>
      </c>
      <c r="N93" s="344"/>
      <c r="O93" s="228"/>
      <c r="Q93" s="161"/>
      <c r="R93" s="119"/>
      <c r="S93" s="119"/>
    </row>
    <row r="94" spans="1:19" s="118" customFormat="1" ht="105">
      <c r="A94" s="335">
        <v>3</v>
      </c>
      <c r="B94" s="230" t="s">
        <v>762</v>
      </c>
      <c r="C94" s="343">
        <v>44693</v>
      </c>
      <c r="D94" s="231" t="s">
        <v>94</v>
      </c>
      <c r="E94" s="233" t="s">
        <v>763</v>
      </c>
      <c r="F94" s="335">
        <v>3200</v>
      </c>
      <c r="G94" s="233" t="s">
        <v>380</v>
      </c>
      <c r="H94" s="229">
        <f t="shared" ref="H94" si="12">F94</f>
        <v>3200</v>
      </c>
      <c r="I94" s="229" t="s">
        <v>44</v>
      </c>
      <c r="J94" s="343">
        <v>44701</v>
      </c>
      <c r="K94" s="344" t="s">
        <v>26</v>
      </c>
      <c r="L94" s="343">
        <v>44693</v>
      </c>
      <c r="M94" s="343">
        <v>44693</v>
      </c>
      <c r="N94" s="344"/>
      <c r="O94" s="228"/>
      <c r="Q94" s="161"/>
      <c r="R94" s="119"/>
      <c r="S94" s="119"/>
    </row>
    <row r="95" spans="1:19" s="118" customFormat="1" ht="126">
      <c r="A95" s="335">
        <v>4</v>
      </c>
      <c r="B95" s="230" t="s">
        <v>781</v>
      </c>
      <c r="C95" s="343">
        <v>44693</v>
      </c>
      <c r="D95" s="231" t="s">
        <v>95</v>
      </c>
      <c r="E95" s="233" t="s">
        <v>768</v>
      </c>
      <c r="F95" s="335">
        <v>37000</v>
      </c>
      <c r="G95" s="305" t="s">
        <v>780</v>
      </c>
      <c r="H95" s="229">
        <f t="shared" ref="H95:H96" si="13">F95</f>
        <v>37000</v>
      </c>
      <c r="I95" s="229" t="s">
        <v>44</v>
      </c>
      <c r="J95" s="343">
        <v>44696</v>
      </c>
      <c r="K95" s="344" t="s">
        <v>38</v>
      </c>
      <c r="L95" s="343">
        <v>44696</v>
      </c>
      <c r="M95" s="343">
        <v>44696</v>
      </c>
      <c r="N95" s="344"/>
      <c r="O95" s="228"/>
      <c r="Q95" s="161"/>
      <c r="R95" s="119"/>
      <c r="S95" s="119"/>
    </row>
    <row r="96" spans="1:19" s="118" customFormat="1" ht="105">
      <c r="A96" s="335">
        <v>5</v>
      </c>
      <c r="B96" s="230" t="s">
        <v>779</v>
      </c>
      <c r="C96" s="343">
        <v>44693</v>
      </c>
      <c r="D96" s="231" t="s">
        <v>96</v>
      </c>
      <c r="E96" s="233" t="s">
        <v>770</v>
      </c>
      <c r="F96" s="335">
        <v>15000</v>
      </c>
      <c r="G96" s="395" t="s">
        <v>778</v>
      </c>
      <c r="H96" s="229">
        <f t="shared" si="13"/>
        <v>15000</v>
      </c>
      <c r="I96" s="229" t="s">
        <v>44</v>
      </c>
      <c r="J96" s="343">
        <v>44697</v>
      </c>
      <c r="K96" s="344" t="s">
        <v>38</v>
      </c>
      <c r="L96" s="343">
        <v>44697</v>
      </c>
      <c r="M96" s="343">
        <v>44697</v>
      </c>
      <c r="N96" s="344"/>
      <c r="O96" s="228"/>
      <c r="Q96" s="161"/>
      <c r="R96" s="119"/>
      <c r="S96" s="119"/>
    </row>
    <row r="97" spans="1:19" s="118" customFormat="1" ht="105">
      <c r="A97" s="335">
        <v>6</v>
      </c>
      <c r="B97" s="230" t="s">
        <v>765</v>
      </c>
      <c r="C97" s="343">
        <v>44693</v>
      </c>
      <c r="D97" s="231" t="s">
        <v>97</v>
      </c>
      <c r="E97" s="233" t="s">
        <v>766</v>
      </c>
      <c r="F97" s="335">
        <v>15000</v>
      </c>
      <c r="G97" s="233" t="s">
        <v>777</v>
      </c>
      <c r="H97" s="229">
        <f t="shared" ref="H97" si="14">F97</f>
        <v>15000</v>
      </c>
      <c r="I97" s="229" t="s">
        <v>44</v>
      </c>
      <c r="J97" s="343">
        <v>44696</v>
      </c>
      <c r="K97" s="344" t="s">
        <v>38</v>
      </c>
      <c r="L97" s="343">
        <v>44696</v>
      </c>
      <c r="M97" s="343">
        <v>44696</v>
      </c>
      <c r="N97" s="344"/>
      <c r="O97" s="228"/>
      <c r="Q97" s="161"/>
      <c r="R97" s="119"/>
      <c r="S97" s="119"/>
    </row>
    <row r="98" spans="1:19" s="118" customFormat="1" ht="105">
      <c r="A98" s="335">
        <v>7</v>
      </c>
      <c r="B98" s="230" t="s">
        <v>773</v>
      </c>
      <c r="C98" s="343">
        <v>44693</v>
      </c>
      <c r="D98" s="231" t="s">
        <v>98</v>
      </c>
      <c r="E98" s="233" t="s">
        <v>769</v>
      </c>
      <c r="F98" s="335">
        <v>5000</v>
      </c>
      <c r="G98" s="233" t="s">
        <v>777</v>
      </c>
      <c r="H98" s="229">
        <f t="shared" ref="H98" si="15">F98</f>
        <v>5000</v>
      </c>
      <c r="I98" s="229" t="s">
        <v>44</v>
      </c>
      <c r="J98" s="343">
        <v>44696</v>
      </c>
      <c r="K98" s="344" t="s">
        <v>38</v>
      </c>
      <c r="L98" s="343">
        <v>44696</v>
      </c>
      <c r="M98" s="343">
        <v>44696</v>
      </c>
      <c r="N98" s="344"/>
      <c r="O98" s="228"/>
      <c r="Q98" s="161"/>
      <c r="R98" s="119"/>
      <c r="S98" s="119"/>
    </row>
    <row r="99" spans="1:19" s="118" customFormat="1" ht="105">
      <c r="A99" s="335">
        <v>8</v>
      </c>
      <c r="B99" s="230" t="s">
        <v>771</v>
      </c>
      <c r="C99" s="343">
        <v>44693</v>
      </c>
      <c r="D99" s="231" t="s">
        <v>99</v>
      </c>
      <c r="E99" s="233" t="s">
        <v>774</v>
      </c>
      <c r="F99" s="335">
        <v>25000</v>
      </c>
      <c r="G99" s="108" t="s">
        <v>776</v>
      </c>
      <c r="H99" s="229">
        <f>F99</f>
        <v>25000</v>
      </c>
      <c r="I99" s="229" t="s">
        <v>44</v>
      </c>
      <c r="J99" s="343">
        <v>44696</v>
      </c>
      <c r="K99" s="344" t="s">
        <v>38</v>
      </c>
      <c r="L99" s="343">
        <v>44696</v>
      </c>
      <c r="M99" s="343">
        <v>44696</v>
      </c>
      <c r="N99" s="344"/>
      <c r="O99" s="228"/>
      <c r="Q99" s="161"/>
      <c r="R99" s="119"/>
      <c r="S99" s="119"/>
    </row>
    <row r="100" spans="1:19" s="118" customFormat="1" ht="126">
      <c r="A100" s="388">
        <v>9</v>
      </c>
      <c r="B100" s="389" t="s">
        <v>772</v>
      </c>
      <c r="C100" s="390">
        <v>44693</v>
      </c>
      <c r="D100" s="391" t="s">
        <v>100</v>
      </c>
      <c r="E100" s="392" t="s">
        <v>767</v>
      </c>
      <c r="F100" s="388">
        <v>6230</v>
      </c>
      <c r="G100" s="212" t="s">
        <v>775</v>
      </c>
      <c r="H100" s="393">
        <f t="shared" ref="H100" si="16">F100</f>
        <v>6230</v>
      </c>
      <c r="I100" s="393" t="s">
        <v>44</v>
      </c>
      <c r="J100" s="390">
        <v>44696</v>
      </c>
      <c r="K100" s="394" t="s">
        <v>38</v>
      </c>
      <c r="L100" s="343">
        <v>44696</v>
      </c>
      <c r="M100" s="343">
        <v>44696</v>
      </c>
      <c r="N100" s="394"/>
      <c r="O100" s="228"/>
      <c r="Q100" s="161"/>
      <c r="R100" s="119"/>
      <c r="S100" s="119"/>
    </row>
    <row r="101" spans="1:19" s="118" customFormat="1" ht="147">
      <c r="A101" s="335">
        <v>10</v>
      </c>
      <c r="B101" s="230" t="s">
        <v>788</v>
      </c>
      <c r="C101" s="343">
        <v>44706</v>
      </c>
      <c r="D101" s="231" t="s">
        <v>101</v>
      </c>
      <c r="E101" s="233" t="s">
        <v>789</v>
      </c>
      <c r="F101" s="335">
        <v>2600</v>
      </c>
      <c r="G101" s="233" t="s">
        <v>380</v>
      </c>
      <c r="H101" s="229">
        <f t="shared" ref="H101" si="17">F101</f>
        <v>2600</v>
      </c>
      <c r="I101" s="229" t="s">
        <v>44</v>
      </c>
      <c r="J101" s="343">
        <v>44711</v>
      </c>
      <c r="K101" s="344" t="s">
        <v>26</v>
      </c>
      <c r="L101" s="343">
        <v>44708</v>
      </c>
      <c r="M101" s="343">
        <v>44708</v>
      </c>
      <c r="N101" s="344"/>
      <c r="O101" s="228"/>
      <c r="Q101" s="161"/>
      <c r="R101" s="119"/>
      <c r="S101" s="119"/>
    </row>
    <row r="102" spans="1:19" s="118" customFormat="1">
      <c r="B102" s="149"/>
      <c r="C102" s="150"/>
      <c r="D102" s="151"/>
      <c r="E102" s="120"/>
      <c r="G102" s="120"/>
      <c r="H102" s="126"/>
      <c r="I102" s="126"/>
      <c r="J102" s="150"/>
      <c r="K102" s="152"/>
      <c r="L102" s="150"/>
      <c r="M102" s="150"/>
      <c r="N102" s="152"/>
      <c r="O102" s="120"/>
      <c r="Q102" s="161"/>
      <c r="R102" s="119"/>
      <c r="S102" s="119"/>
    </row>
    <row r="103" spans="1:19" s="118" customFormat="1">
      <c r="B103" s="149"/>
      <c r="C103" s="150"/>
      <c r="D103" s="151"/>
      <c r="E103" s="120"/>
      <c r="G103" s="120"/>
      <c r="H103" s="126"/>
      <c r="I103" s="126"/>
      <c r="J103" s="150"/>
      <c r="K103" s="152"/>
      <c r="L103" s="150"/>
      <c r="M103" s="150"/>
      <c r="N103" s="152"/>
      <c r="O103" s="120"/>
      <c r="Q103" s="161"/>
      <c r="R103" s="119"/>
      <c r="S103" s="119"/>
    </row>
    <row r="104" spans="1:19" s="118" customFormat="1">
      <c r="B104" s="149"/>
      <c r="C104" s="150"/>
      <c r="D104" s="151"/>
      <c r="E104" s="120"/>
      <c r="G104" s="120"/>
      <c r="H104" s="126"/>
      <c r="I104" s="126"/>
      <c r="J104" s="150"/>
      <c r="K104" s="152"/>
      <c r="L104" s="150"/>
      <c r="M104" s="150"/>
      <c r="N104" s="152"/>
      <c r="O104" s="120"/>
      <c r="Q104" s="161"/>
      <c r="R104" s="119"/>
      <c r="S104" s="119"/>
    </row>
    <row r="105" spans="1:19" s="118" customFormat="1">
      <c r="B105" s="149"/>
      <c r="C105" s="150"/>
      <c r="D105" s="151"/>
      <c r="E105" s="120"/>
      <c r="G105" s="120"/>
      <c r="H105" s="126"/>
      <c r="I105" s="126"/>
      <c r="J105" s="150"/>
      <c r="K105" s="152"/>
      <c r="L105" s="150"/>
      <c r="M105" s="150"/>
      <c r="N105" s="152"/>
      <c r="O105" s="120"/>
      <c r="Q105" s="161"/>
      <c r="R105" s="119"/>
      <c r="S105" s="119"/>
    </row>
    <row r="106" spans="1:19" s="118" customFormat="1">
      <c r="B106" s="149"/>
      <c r="C106" s="150"/>
      <c r="D106" s="151"/>
      <c r="E106" s="120"/>
      <c r="G106" s="120"/>
      <c r="H106" s="126"/>
      <c r="I106" s="126"/>
      <c r="J106" s="150"/>
      <c r="K106" s="152"/>
      <c r="L106" s="150"/>
      <c r="M106" s="150"/>
      <c r="N106" s="152"/>
      <c r="O106" s="120"/>
      <c r="Q106" s="161"/>
      <c r="R106" s="119"/>
      <c r="S106" s="119"/>
    </row>
    <row r="107" spans="1:19" s="118" customFormat="1">
      <c r="B107" s="149"/>
      <c r="C107" s="150"/>
      <c r="D107" s="151"/>
      <c r="E107" s="120"/>
      <c r="G107" s="120"/>
      <c r="H107" s="126"/>
      <c r="I107" s="126"/>
      <c r="J107" s="150"/>
      <c r="K107" s="152"/>
      <c r="L107" s="150"/>
      <c r="M107" s="150"/>
      <c r="N107" s="152"/>
      <c r="O107" s="120"/>
      <c r="Q107" s="161"/>
      <c r="R107" s="119"/>
      <c r="S107" s="119"/>
    </row>
    <row r="108" spans="1:19" s="118" customFormat="1">
      <c r="B108" s="149"/>
      <c r="C108" s="150"/>
      <c r="D108" s="151"/>
      <c r="E108" s="120"/>
      <c r="G108" s="120"/>
      <c r="H108" s="126"/>
      <c r="I108" s="126"/>
      <c r="J108" s="150"/>
      <c r="K108" s="152"/>
      <c r="L108" s="150"/>
      <c r="M108" s="150"/>
      <c r="N108" s="152"/>
      <c r="O108" s="120"/>
      <c r="Q108" s="161"/>
      <c r="R108" s="119"/>
      <c r="S108" s="119"/>
    </row>
    <row r="109" spans="1:19" s="118" customFormat="1">
      <c r="B109" s="149"/>
      <c r="C109" s="150"/>
      <c r="D109" s="151"/>
      <c r="E109" s="120"/>
      <c r="G109" s="120"/>
      <c r="H109" s="126"/>
      <c r="I109" s="126"/>
      <c r="J109" s="150"/>
      <c r="K109" s="152"/>
      <c r="L109" s="150"/>
      <c r="M109" s="150"/>
      <c r="N109" s="152"/>
      <c r="O109" s="120"/>
      <c r="Q109" s="161"/>
      <c r="R109" s="119"/>
      <c r="S109" s="119"/>
    </row>
    <row r="110" spans="1:19" s="118" customFormat="1">
      <c r="B110" s="149"/>
      <c r="C110" s="150"/>
      <c r="D110" s="151"/>
      <c r="E110" s="120"/>
      <c r="G110" s="120"/>
      <c r="H110" s="126"/>
      <c r="I110" s="126"/>
      <c r="J110" s="150"/>
      <c r="K110" s="152"/>
      <c r="L110" s="150"/>
      <c r="M110" s="150"/>
      <c r="N110" s="152"/>
      <c r="O110" s="120"/>
      <c r="Q110" s="161"/>
      <c r="R110" s="119"/>
      <c r="S110" s="119"/>
    </row>
    <row r="111" spans="1:19" s="118" customFormat="1">
      <c r="B111" s="149"/>
      <c r="C111" s="150"/>
      <c r="D111" s="151"/>
      <c r="E111" s="120"/>
      <c r="G111" s="120"/>
      <c r="H111" s="126"/>
      <c r="I111" s="126"/>
      <c r="J111" s="150"/>
      <c r="K111" s="152"/>
      <c r="L111" s="150"/>
      <c r="M111" s="150"/>
      <c r="N111" s="152"/>
      <c r="O111" s="120"/>
      <c r="Q111" s="161"/>
      <c r="R111" s="119"/>
      <c r="S111" s="119"/>
    </row>
    <row r="112" spans="1:19" s="118" customFormat="1">
      <c r="B112" s="149"/>
      <c r="C112" s="150"/>
      <c r="D112" s="151"/>
      <c r="E112" s="120"/>
      <c r="G112" s="120"/>
      <c r="H112" s="126"/>
      <c r="I112" s="126"/>
      <c r="J112" s="150"/>
      <c r="K112" s="152"/>
      <c r="L112" s="150"/>
      <c r="M112" s="150"/>
      <c r="N112" s="152"/>
      <c r="O112" s="120"/>
      <c r="Q112" s="161"/>
      <c r="R112" s="119"/>
      <c r="S112" s="119"/>
    </row>
    <row r="113" spans="1:19" s="118" customFormat="1">
      <c r="B113" s="149"/>
      <c r="C113" s="150"/>
      <c r="D113" s="151"/>
      <c r="E113" s="120"/>
      <c r="G113" s="120"/>
      <c r="H113" s="126"/>
      <c r="I113" s="126"/>
      <c r="J113" s="150"/>
      <c r="K113" s="152"/>
      <c r="L113" s="150"/>
      <c r="M113" s="150"/>
      <c r="N113" s="152"/>
      <c r="O113" s="120"/>
      <c r="Q113" s="161"/>
      <c r="R113" s="119"/>
      <c r="S113" s="119"/>
    </row>
    <row r="114" spans="1:19" s="118" customFormat="1">
      <c r="A114" s="381"/>
      <c r="B114" s="382"/>
      <c r="C114" s="383"/>
      <c r="D114" s="384"/>
      <c r="E114" s="385"/>
      <c r="F114" s="381"/>
      <c r="G114" s="120"/>
      <c r="H114" s="386"/>
      <c r="I114" s="386"/>
      <c r="J114" s="383"/>
      <c r="K114" s="387"/>
      <c r="L114" s="383"/>
      <c r="M114" s="383"/>
      <c r="N114" s="387"/>
      <c r="O114" s="120"/>
      <c r="Q114" s="161"/>
      <c r="R114" s="119"/>
      <c r="S114" s="119"/>
    </row>
    <row r="115" spans="1:19" s="67" customFormat="1" ht="25.5" customHeight="1">
      <c r="A115" s="548" t="s">
        <v>922</v>
      </c>
      <c r="B115" s="548"/>
      <c r="C115" s="548"/>
      <c r="D115" s="548"/>
      <c r="E115" s="548"/>
      <c r="F115" s="52"/>
      <c r="G115" s="374"/>
      <c r="H115" s="52"/>
      <c r="I115" s="52"/>
      <c r="J115" s="52"/>
      <c r="K115" s="52"/>
      <c r="L115" s="374"/>
      <c r="M115" s="374"/>
      <c r="N115" s="76"/>
      <c r="O115" s="116"/>
      <c r="P115" s="116"/>
    </row>
    <row r="116" spans="1:19" s="118" customFormat="1" ht="147">
      <c r="A116" s="335">
        <v>1</v>
      </c>
      <c r="B116" s="230" t="s">
        <v>864</v>
      </c>
      <c r="C116" s="343">
        <v>44719</v>
      </c>
      <c r="D116" s="231" t="s">
        <v>102</v>
      </c>
      <c r="E116" s="233" t="s">
        <v>865</v>
      </c>
      <c r="F116" s="335">
        <v>3800</v>
      </c>
      <c r="G116" s="108" t="s">
        <v>866</v>
      </c>
      <c r="H116" s="229">
        <f t="shared" ref="H116" si="18">F116</f>
        <v>3800</v>
      </c>
      <c r="I116" s="344" t="s">
        <v>867</v>
      </c>
      <c r="J116" s="343">
        <v>44726</v>
      </c>
      <c r="K116" s="344" t="s">
        <v>26</v>
      </c>
      <c r="L116" s="343">
        <v>44725</v>
      </c>
      <c r="M116" s="343">
        <v>44725</v>
      </c>
      <c r="N116" s="344"/>
      <c r="O116" s="228"/>
      <c r="Q116" s="161"/>
      <c r="R116" s="119"/>
      <c r="S116" s="119"/>
    </row>
    <row r="117" spans="1:19" s="118" customFormat="1" ht="126">
      <c r="A117" s="335">
        <v>2</v>
      </c>
      <c r="B117" s="230" t="s">
        <v>876</v>
      </c>
      <c r="C117" s="343">
        <v>44728</v>
      </c>
      <c r="D117" s="231" t="s">
        <v>103</v>
      </c>
      <c r="E117" s="233" t="s">
        <v>877</v>
      </c>
      <c r="F117" s="335">
        <v>800</v>
      </c>
      <c r="G117" s="233" t="s">
        <v>555</v>
      </c>
      <c r="H117" s="229">
        <f t="shared" ref="H117" si="19">F117</f>
        <v>800</v>
      </c>
      <c r="I117" s="344" t="s">
        <v>878</v>
      </c>
      <c r="J117" s="343">
        <v>44735</v>
      </c>
      <c r="K117" s="256" t="s">
        <v>115</v>
      </c>
      <c r="L117" s="343">
        <v>44732</v>
      </c>
      <c r="M117" s="343">
        <v>44732</v>
      </c>
      <c r="N117" s="344"/>
      <c r="O117" s="228"/>
      <c r="Q117" s="161"/>
      <c r="R117" s="119"/>
      <c r="S117" s="119"/>
    </row>
    <row r="118" spans="1:19" s="408" customFormat="1" ht="84">
      <c r="A118" s="404">
        <v>3</v>
      </c>
      <c r="B118" s="302" t="s">
        <v>923</v>
      </c>
      <c r="C118" s="405">
        <v>44728</v>
      </c>
      <c r="D118" s="303" t="s">
        <v>104</v>
      </c>
      <c r="E118" s="305" t="s">
        <v>879</v>
      </c>
      <c r="F118" s="404">
        <v>3070</v>
      </c>
      <c r="G118" s="305" t="s">
        <v>880</v>
      </c>
      <c r="H118" s="301">
        <f>F118</f>
        <v>3070</v>
      </c>
      <c r="I118" s="406" t="s">
        <v>878</v>
      </c>
      <c r="J118" s="405">
        <v>44735</v>
      </c>
      <c r="K118" s="310" t="s">
        <v>26</v>
      </c>
      <c r="L118" s="343">
        <v>44732</v>
      </c>
      <c r="M118" s="343">
        <v>44732</v>
      </c>
      <c r="N118" s="406"/>
      <c r="O118" s="407"/>
      <c r="Q118" s="409"/>
      <c r="R118" s="410"/>
      <c r="S118" s="410"/>
    </row>
    <row r="119" spans="1:19" s="118" customFormat="1" ht="126">
      <c r="A119" s="335">
        <v>4</v>
      </c>
      <c r="B119" s="230" t="s">
        <v>896</v>
      </c>
      <c r="C119" s="343">
        <v>44735</v>
      </c>
      <c r="D119" s="231" t="s">
        <v>105</v>
      </c>
      <c r="E119" s="157" t="s">
        <v>898</v>
      </c>
      <c r="F119" s="153">
        <v>600</v>
      </c>
      <c r="G119" s="203" t="s">
        <v>883</v>
      </c>
      <c r="H119" s="229">
        <f t="shared" ref="H119" si="20">F119</f>
        <v>600</v>
      </c>
      <c r="I119" s="344" t="s">
        <v>878</v>
      </c>
      <c r="J119" s="343">
        <v>44736</v>
      </c>
      <c r="K119" s="256" t="s">
        <v>61</v>
      </c>
      <c r="L119" s="343">
        <v>44736</v>
      </c>
      <c r="M119" s="343">
        <v>44736</v>
      </c>
      <c r="N119" s="344"/>
      <c r="O119" s="228"/>
      <c r="Q119" s="161"/>
      <c r="R119" s="119"/>
      <c r="S119" s="119"/>
    </row>
    <row r="120" spans="1:19" s="118" customFormat="1" ht="126">
      <c r="A120" s="335">
        <v>5</v>
      </c>
      <c r="B120" s="230" t="s">
        <v>897</v>
      </c>
      <c r="C120" s="343">
        <v>44735</v>
      </c>
      <c r="D120" s="231" t="s">
        <v>106</v>
      </c>
      <c r="E120" s="157" t="s">
        <v>930</v>
      </c>
      <c r="F120" s="153">
        <v>594</v>
      </c>
      <c r="G120" s="203" t="s">
        <v>929</v>
      </c>
      <c r="H120" s="229">
        <f t="shared" ref="H120" si="21">F120</f>
        <v>594</v>
      </c>
      <c r="I120" s="344" t="s">
        <v>878</v>
      </c>
      <c r="J120" s="343">
        <v>44741</v>
      </c>
      <c r="K120" s="256" t="s">
        <v>61</v>
      </c>
      <c r="L120" s="343">
        <v>44740</v>
      </c>
      <c r="M120" s="343">
        <v>44740</v>
      </c>
      <c r="N120" s="344"/>
      <c r="O120" s="228"/>
      <c r="Q120" s="161"/>
      <c r="R120" s="119"/>
      <c r="S120" s="119"/>
    </row>
    <row r="121" spans="1:19" s="118" customFormat="1" ht="147">
      <c r="A121" s="388">
        <v>6</v>
      </c>
      <c r="B121" s="389" t="s">
        <v>894</v>
      </c>
      <c r="C121" s="390">
        <v>44735</v>
      </c>
      <c r="D121" s="391" t="s">
        <v>107</v>
      </c>
      <c r="E121" s="392" t="s">
        <v>895</v>
      </c>
      <c r="F121" s="388">
        <f>3200+1400</f>
        <v>4600</v>
      </c>
      <c r="G121" s="212" t="s">
        <v>866</v>
      </c>
      <c r="H121" s="393">
        <f t="shared" ref="H121" si="22">F121</f>
        <v>4600</v>
      </c>
      <c r="I121" s="394" t="s">
        <v>878</v>
      </c>
      <c r="J121" s="390">
        <v>44742</v>
      </c>
      <c r="K121" s="415" t="s">
        <v>37</v>
      </c>
      <c r="L121" s="390">
        <v>44739</v>
      </c>
      <c r="M121" s="390">
        <v>44739</v>
      </c>
      <c r="N121" s="394"/>
      <c r="O121" s="228"/>
      <c r="Q121" s="161"/>
      <c r="R121" s="119"/>
      <c r="S121" s="119"/>
    </row>
    <row r="122" spans="1:19" s="408" customFormat="1" ht="93.75">
      <c r="A122" s="404">
        <v>7</v>
      </c>
      <c r="B122" s="302" t="s">
        <v>909</v>
      </c>
      <c r="C122" s="405">
        <v>44740</v>
      </c>
      <c r="D122" s="303" t="s">
        <v>142</v>
      </c>
      <c r="E122" s="305" t="s">
        <v>931</v>
      </c>
      <c r="F122" s="404">
        <v>7000</v>
      </c>
      <c r="G122" s="254" t="s">
        <v>590</v>
      </c>
      <c r="H122" s="301">
        <f t="shared" ref="H122" si="23">F122</f>
        <v>7000</v>
      </c>
      <c r="I122" s="406" t="s">
        <v>878</v>
      </c>
      <c r="J122" s="405">
        <v>44741</v>
      </c>
      <c r="K122" s="310" t="s">
        <v>37</v>
      </c>
      <c r="L122" s="343">
        <v>44741</v>
      </c>
      <c r="M122" s="343">
        <v>44741</v>
      </c>
      <c r="N122" s="406"/>
      <c r="O122" s="407"/>
      <c r="Q122" s="409"/>
      <c r="R122" s="410"/>
      <c r="S122" s="410"/>
    </row>
    <row r="123" spans="1:19" s="408" customFormat="1" ht="105">
      <c r="A123" s="404">
        <v>8</v>
      </c>
      <c r="B123" s="302" t="s">
        <v>910</v>
      </c>
      <c r="C123" s="405">
        <v>44740</v>
      </c>
      <c r="D123" s="303" t="s">
        <v>130</v>
      </c>
      <c r="E123" s="305" t="s">
        <v>911</v>
      </c>
      <c r="F123" s="404">
        <v>2000</v>
      </c>
      <c r="G123" s="305" t="s">
        <v>912</v>
      </c>
      <c r="H123" s="301">
        <f t="shared" ref="H123" si="24">F123</f>
        <v>2000</v>
      </c>
      <c r="I123" s="406" t="s">
        <v>878</v>
      </c>
      <c r="J123" s="405">
        <v>44741</v>
      </c>
      <c r="K123" s="310" t="s">
        <v>61</v>
      </c>
      <c r="L123" s="343">
        <v>44741</v>
      </c>
      <c r="M123" s="343">
        <v>44741</v>
      </c>
      <c r="N123" s="406"/>
      <c r="O123" s="407"/>
      <c r="Q123" s="409"/>
      <c r="R123" s="410"/>
      <c r="S123" s="410"/>
    </row>
    <row r="124" spans="1:19" s="408" customFormat="1">
      <c r="A124" s="453"/>
      <c r="B124" s="454"/>
      <c r="C124" s="455"/>
      <c r="D124" s="456"/>
      <c r="E124" s="457"/>
      <c r="F124" s="453"/>
      <c r="G124" s="457"/>
      <c r="H124" s="458"/>
      <c r="I124" s="459"/>
      <c r="J124" s="455"/>
      <c r="K124" s="460"/>
      <c r="L124" s="291"/>
      <c r="M124" s="291"/>
      <c r="N124" s="459"/>
      <c r="O124" s="311"/>
      <c r="Q124" s="409"/>
      <c r="R124" s="410"/>
      <c r="S124" s="410"/>
    </row>
    <row r="125" spans="1:19" s="408" customFormat="1">
      <c r="B125" s="327"/>
      <c r="C125" s="461"/>
      <c r="D125" s="328"/>
      <c r="E125" s="311"/>
      <c r="G125" s="311"/>
      <c r="H125" s="312"/>
      <c r="I125" s="462"/>
      <c r="J125" s="461"/>
      <c r="K125" s="333"/>
      <c r="L125" s="150"/>
      <c r="M125" s="150"/>
      <c r="N125" s="462"/>
      <c r="O125" s="311"/>
      <c r="Q125" s="409"/>
      <c r="R125" s="410"/>
      <c r="S125" s="410"/>
    </row>
    <row r="126" spans="1:19" s="408" customFormat="1">
      <c r="B126" s="327"/>
      <c r="C126" s="461"/>
      <c r="D126" s="328"/>
      <c r="E126" s="311"/>
      <c r="G126" s="311"/>
      <c r="H126" s="312"/>
      <c r="I126" s="462"/>
      <c r="J126" s="461"/>
      <c r="K126" s="333"/>
      <c r="L126" s="150"/>
      <c r="M126" s="150"/>
      <c r="N126" s="462"/>
      <c r="O126" s="311"/>
      <c r="Q126" s="409"/>
      <c r="R126" s="410"/>
      <c r="S126" s="410"/>
    </row>
    <row r="127" spans="1:19" s="408" customFormat="1">
      <c r="B127" s="327"/>
      <c r="C127" s="461"/>
      <c r="D127" s="328"/>
      <c r="E127" s="311"/>
      <c r="G127" s="311"/>
      <c r="H127" s="312"/>
      <c r="I127" s="462"/>
      <c r="J127" s="461"/>
      <c r="K127" s="333"/>
      <c r="L127" s="150"/>
      <c r="M127" s="150"/>
      <c r="N127" s="462"/>
      <c r="O127" s="311"/>
      <c r="Q127" s="409"/>
      <c r="R127" s="410"/>
      <c r="S127" s="410"/>
    </row>
    <row r="128" spans="1:19" s="408" customFormat="1">
      <c r="B128" s="327"/>
      <c r="C128" s="461"/>
      <c r="D128" s="328"/>
      <c r="E128" s="311"/>
      <c r="G128" s="311"/>
      <c r="H128" s="312"/>
      <c r="I128" s="462"/>
      <c r="J128" s="461"/>
      <c r="K128" s="333"/>
      <c r="L128" s="150"/>
      <c r="M128" s="150"/>
      <c r="N128" s="462"/>
      <c r="O128" s="311"/>
      <c r="Q128" s="409"/>
      <c r="R128" s="410"/>
      <c r="S128" s="410"/>
    </row>
    <row r="129" spans="1:19" s="408" customFormat="1">
      <c r="B129" s="327"/>
      <c r="C129" s="461"/>
      <c r="D129" s="328"/>
      <c r="E129" s="311"/>
      <c r="G129" s="311"/>
      <c r="H129" s="312"/>
      <c r="I129" s="462"/>
      <c r="J129" s="461"/>
      <c r="K129" s="333"/>
      <c r="L129" s="150"/>
      <c r="M129" s="150"/>
      <c r="N129" s="462"/>
      <c r="O129" s="311"/>
      <c r="Q129" s="409"/>
      <c r="R129" s="410"/>
      <c r="S129" s="410"/>
    </row>
    <row r="130" spans="1:19" s="67" customFormat="1" ht="25.5" customHeight="1">
      <c r="A130" s="548" t="s">
        <v>1068</v>
      </c>
      <c r="B130" s="548"/>
      <c r="C130" s="548"/>
      <c r="D130" s="548"/>
      <c r="E130" s="548"/>
      <c r="F130" s="52"/>
      <c r="G130" s="374"/>
      <c r="H130" s="52"/>
      <c r="I130" s="52"/>
      <c r="J130" s="52"/>
      <c r="K130" s="52"/>
      <c r="L130" s="374"/>
      <c r="M130" s="374"/>
      <c r="N130" s="76"/>
      <c r="O130" s="116"/>
      <c r="P130" s="116"/>
    </row>
    <row r="131" spans="1:19" s="118" customFormat="1" ht="147">
      <c r="A131" s="335">
        <v>1</v>
      </c>
      <c r="B131" s="230" t="s">
        <v>938</v>
      </c>
      <c r="C131" s="343">
        <v>44747</v>
      </c>
      <c r="D131" s="231" t="s">
        <v>131</v>
      </c>
      <c r="E131" s="392" t="s">
        <v>939</v>
      </c>
      <c r="F131" s="388">
        <v>1400</v>
      </c>
      <c r="G131" s="212" t="s">
        <v>866</v>
      </c>
      <c r="H131" s="229">
        <f t="shared" ref="H131" si="25">F131</f>
        <v>1400</v>
      </c>
      <c r="I131" s="344" t="s">
        <v>878</v>
      </c>
      <c r="J131" s="343">
        <v>44754</v>
      </c>
      <c r="K131" s="256" t="s">
        <v>61</v>
      </c>
      <c r="L131" s="405">
        <v>44747</v>
      </c>
      <c r="M131" s="405">
        <v>44747</v>
      </c>
      <c r="N131" s="344"/>
      <c r="O131" s="228"/>
      <c r="Q131" s="161"/>
      <c r="R131" s="119"/>
      <c r="S131" s="119"/>
    </row>
    <row r="132" spans="1:19" s="408" customFormat="1" ht="189">
      <c r="A132" s="404">
        <v>2</v>
      </c>
      <c r="B132" s="302" t="s">
        <v>940</v>
      </c>
      <c r="C132" s="405">
        <v>44747</v>
      </c>
      <c r="D132" s="303" t="s">
        <v>132</v>
      </c>
      <c r="E132" s="305" t="s">
        <v>942</v>
      </c>
      <c r="F132" s="404">
        <f>1.2*3*120</f>
        <v>431.99999999999994</v>
      </c>
      <c r="G132" s="305" t="s">
        <v>941</v>
      </c>
      <c r="H132" s="301">
        <f t="shared" ref="H132" si="26">F132</f>
        <v>431.99999999999994</v>
      </c>
      <c r="I132" s="406" t="s">
        <v>878</v>
      </c>
      <c r="J132" s="405">
        <v>44761</v>
      </c>
      <c r="K132" s="310" t="s">
        <v>38</v>
      </c>
      <c r="L132" s="405">
        <v>44747</v>
      </c>
      <c r="M132" s="405">
        <v>44747</v>
      </c>
      <c r="N132" s="406"/>
      <c r="O132" s="407"/>
      <c r="Q132" s="409"/>
      <c r="R132" s="410"/>
      <c r="S132" s="410"/>
    </row>
    <row r="133" spans="1:19" s="408" customFormat="1" ht="105">
      <c r="A133" s="335">
        <v>3</v>
      </c>
      <c r="B133" s="302" t="s">
        <v>910</v>
      </c>
      <c r="C133" s="405">
        <v>44749</v>
      </c>
      <c r="D133" s="303" t="s">
        <v>133</v>
      </c>
      <c r="E133" s="305" t="s">
        <v>943</v>
      </c>
      <c r="F133" s="404">
        <f>1.5*3.5*120</f>
        <v>630</v>
      </c>
      <c r="G133" s="203" t="s">
        <v>929</v>
      </c>
      <c r="H133" s="301">
        <f t="shared" ref="H133" si="27">F133</f>
        <v>630</v>
      </c>
      <c r="I133" s="406" t="s">
        <v>878</v>
      </c>
      <c r="J133" s="405">
        <v>44761</v>
      </c>
      <c r="K133" s="310" t="s">
        <v>61</v>
      </c>
      <c r="L133" s="405">
        <v>44771</v>
      </c>
      <c r="M133" s="405">
        <v>44771</v>
      </c>
      <c r="N133" s="406"/>
      <c r="O133" s="407"/>
      <c r="Q133" s="409"/>
      <c r="R133" s="410"/>
      <c r="S133" s="410"/>
    </row>
    <row r="134" spans="1:19" s="408" customFormat="1" ht="126">
      <c r="A134" s="404">
        <v>4</v>
      </c>
      <c r="B134" s="302" t="s">
        <v>944</v>
      </c>
      <c r="C134" s="405">
        <v>44749</v>
      </c>
      <c r="D134" s="303" t="s">
        <v>134</v>
      </c>
      <c r="E134" s="305" t="s">
        <v>945</v>
      </c>
      <c r="F134" s="404">
        <f>5000*2</f>
        <v>10000</v>
      </c>
      <c r="G134" s="233" t="s">
        <v>754</v>
      </c>
      <c r="H134" s="301">
        <f t="shared" ref="H134" si="28">F134</f>
        <v>10000</v>
      </c>
      <c r="I134" s="406" t="s">
        <v>878</v>
      </c>
      <c r="J134" s="405">
        <v>44761</v>
      </c>
      <c r="K134" s="310" t="s">
        <v>61</v>
      </c>
      <c r="L134" s="405">
        <v>44760</v>
      </c>
      <c r="M134" s="405">
        <v>44760</v>
      </c>
      <c r="N134" s="406"/>
      <c r="O134" s="407"/>
      <c r="Q134" s="409"/>
      <c r="R134" s="410"/>
      <c r="S134" s="410"/>
    </row>
    <row r="135" spans="1:19" s="408" customFormat="1" ht="105">
      <c r="A135" s="335">
        <v>5</v>
      </c>
      <c r="B135" s="302" t="s">
        <v>946</v>
      </c>
      <c r="C135" s="405">
        <v>44754</v>
      </c>
      <c r="D135" s="303" t="s">
        <v>135</v>
      </c>
      <c r="E135" s="305" t="s">
        <v>950</v>
      </c>
      <c r="F135" s="404">
        <f>1.2*3*120</f>
        <v>431.99999999999994</v>
      </c>
      <c r="G135" s="203" t="s">
        <v>929</v>
      </c>
      <c r="H135" s="301">
        <f t="shared" ref="H135" si="29">F135</f>
        <v>431.99999999999994</v>
      </c>
      <c r="I135" s="406" t="s">
        <v>878</v>
      </c>
      <c r="J135" s="405">
        <v>44756</v>
      </c>
      <c r="K135" s="310" t="s">
        <v>38</v>
      </c>
      <c r="L135" s="405">
        <v>44760</v>
      </c>
      <c r="M135" s="405">
        <v>44760</v>
      </c>
      <c r="N135" s="406"/>
      <c r="O135" s="407"/>
      <c r="Q135" s="409"/>
      <c r="R135" s="410"/>
      <c r="S135" s="410"/>
    </row>
    <row r="136" spans="1:19" s="408" customFormat="1" ht="105">
      <c r="A136" s="404">
        <v>6</v>
      </c>
      <c r="B136" s="302" t="s">
        <v>947</v>
      </c>
      <c r="C136" s="405">
        <v>44754</v>
      </c>
      <c r="D136" s="303" t="s">
        <v>136</v>
      </c>
      <c r="E136" s="305" t="s">
        <v>948</v>
      </c>
      <c r="F136" s="404">
        <v>5000</v>
      </c>
      <c r="G136" s="305" t="s">
        <v>949</v>
      </c>
      <c r="H136" s="301">
        <f t="shared" ref="H136:H137" si="30">F136</f>
        <v>5000</v>
      </c>
      <c r="I136" s="406" t="s">
        <v>878</v>
      </c>
      <c r="J136" s="405">
        <v>44756</v>
      </c>
      <c r="K136" s="310" t="s">
        <v>38</v>
      </c>
      <c r="L136" s="405">
        <v>44756</v>
      </c>
      <c r="M136" s="405">
        <v>44756</v>
      </c>
      <c r="N136" s="406"/>
      <c r="O136" s="407"/>
      <c r="Q136" s="409"/>
      <c r="R136" s="410"/>
      <c r="S136" s="410"/>
    </row>
    <row r="137" spans="1:19" s="408" customFormat="1" ht="126">
      <c r="A137" s="404">
        <v>7</v>
      </c>
      <c r="B137" s="302" t="s">
        <v>1053</v>
      </c>
      <c r="C137" s="405">
        <v>44767</v>
      </c>
      <c r="D137" s="303" t="s">
        <v>137</v>
      </c>
      <c r="E137" s="233" t="s">
        <v>1054</v>
      </c>
      <c r="F137" s="335">
        <v>2490</v>
      </c>
      <c r="G137" s="233" t="s">
        <v>555</v>
      </c>
      <c r="H137" s="229">
        <f t="shared" si="30"/>
        <v>2490</v>
      </c>
      <c r="I137" s="229" t="s">
        <v>44</v>
      </c>
      <c r="J137" s="343">
        <v>44776</v>
      </c>
      <c r="K137" s="344" t="s">
        <v>68</v>
      </c>
      <c r="L137" s="343">
        <v>44776</v>
      </c>
      <c r="M137" s="343">
        <v>44776</v>
      </c>
      <c r="N137" s="344"/>
      <c r="O137" s="407"/>
      <c r="Q137" s="409"/>
      <c r="R137" s="410"/>
      <c r="S137" s="410"/>
    </row>
    <row r="138" spans="1:19" s="408" customFormat="1">
      <c r="B138" s="327"/>
      <c r="C138" s="461"/>
      <c r="D138" s="328"/>
      <c r="E138" s="120"/>
      <c r="F138" s="118"/>
      <c r="G138" s="120"/>
      <c r="H138" s="126"/>
      <c r="I138" s="126"/>
      <c r="J138" s="150"/>
      <c r="K138" s="152"/>
      <c r="L138" s="150"/>
      <c r="M138" s="150"/>
      <c r="N138" s="152"/>
      <c r="O138" s="311"/>
      <c r="Q138" s="409"/>
      <c r="R138" s="410"/>
      <c r="S138" s="410"/>
    </row>
    <row r="139" spans="1:19" s="408" customFormat="1">
      <c r="B139" s="327"/>
      <c r="C139" s="461"/>
      <c r="D139" s="328"/>
      <c r="E139" s="120"/>
      <c r="F139" s="118"/>
      <c r="G139" s="120"/>
      <c r="H139" s="126"/>
      <c r="I139" s="126"/>
      <c r="J139" s="150"/>
      <c r="K139" s="152"/>
      <c r="L139" s="150"/>
      <c r="M139" s="150"/>
      <c r="N139" s="152"/>
      <c r="O139" s="311"/>
      <c r="Q139" s="409"/>
      <c r="R139" s="410"/>
      <c r="S139" s="410"/>
    </row>
    <row r="140" spans="1:19" s="408" customFormat="1">
      <c r="B140" s="327"/>
      <c r="C140" s="461"/>
      <c r="D140" s="328"/>
      <c r="E140" s="120"/>
      <c r="F140" s="118"/>
      <c r="G140" s="120"/>
      <c r="H140" s="126"/>
      <c r="I140" s="126"/>
      <c r="J140" s="150"/>
      <c r="K140" s="152"/>
      <c r="L140" s="150"/>
      <c r="M140" s="150"/>
      <c r="N140" s="152"/>
      <c r="O140" s="311"/>
      <c r="Q140" s="409"/>
      <c r="R140" s="410"/>
      <c r="S140" s="410"/>
    </row>
    <row r="141" spans="1:19" s="408" customFormat="1">
      <c r="B141" s="327"/>
      <c r="C141" s="461"/>
      <c r="D141" s="328"/>
      <c r="E141" s="120"/>
      <c r="F141" s="118"/>
      <c r="G141" s="120"/>
      <c r="H141" s="126"/>
      <c r="I141" s="126"/>
      <c r="J141" s="150"/>
      <c r="K141" s="152"/>
      <c r="L141" s="150"/>
      <c r="M141" s="150"/>
      <c r="N141" s="152"/>
      <c r="O141" s="311"/>
      <c r="Q141" s="409"/>
      <c r="R141" s="410"/>
      <c r="S141" s="410"/>
    </row>
    <row r="142" spans="1:19" s="408" customFormat="1">
      <c r="B142" s="327"/>
      <c r="C142" s="461"/>
      <c r="D142" s="328"/>
      <c r="E142" s="120"/>
      <c r="F142" s="118"/>
      <c r="G142" s="120"/>
      <c r="H142" s="126"/>
      <c r="I142" s="126"/>
      <c r="J142" s="150"/>
      <c r="K142" s="152"/>
      <c r="L142" s="150"/>
      <c r="M142" s="150"/>
      <c r="N142" s="152"/>
      <c r="O142" s="311"/>
      <c r="Q142" s="409"/>
      <c r="R142" s="410"/>
      <c r="S142" s="410"/>
    </row>
    <row r="143" spans="1:19" s="408" customFormat="1">
      <c r="A143" s="463"/>
      <c r="B143" s="464"/>
      <c r="C143" s="465"/>
      <c r="D143" s="466"/>
      <c r="E143" s="385"/>
      <c r="F143" s="381"/>
      <c r="G143" s="385"/>
      <c r="H143" s="386"/>
      <c r="I143" s="386"/>
      <c r="J143" s="383"/>
      <c r="K143" s="387"/>
      <c r="L143" s="383"/>
      <c r="M143" s="383"/>
      <c r="N143" s="387"/>
      <c r="O143" s="311"/>
      <c r="Q143" s="409"/>
      <c r="R143" s="410"/>
      <c r="S143" s="410"/>
    </row>
    <row r="144" spans="1:19" s="67" customFormat="1" ht="25.5" customHeight="1">
      <c r="A144" s="548" t="s">
        <v>1137</v>
      </c>
      <c r="B144" s="548"/>
      <c r="C144" s="548"/>
      <c r="D144" s="548"/>
      <c r="E144" s="548"/>
      <c r="F144" s="52"/>
      <c r="G144" s="374"/>
      <c r="H144" s="52"/>
      <c r="I144" s="52"/>
      <c r="J144" s="52"/>
      <c r="K144" s="52"/>
      <c r="L144" s="374"/>
      <c r="M144" s="374"/>
      <c r="N144" s="76"/>
      <c r="O144" s="116"/>
      <c r="P144" s="116"/>
    </row>
    <row r="145" spans="1:19" s="118" customFormat="1" ht="84">
      <c r="A145" s="335">
        <v>1</v>
      </c>
      <c r="B145" s="230" t="s">
        <v>1062</v>
      </c>
      <c r="C145" s="343">
        <v>44774</v>
      </c>
      <c r="D145" s="231" t="s">
        <v>139</v>
      </c>
      <c r="E145" s="233" t="s">
        <v>1063</v>
      </c>
      <c r="F145" s="335">
        <v>6000</v>
      </c>
      <c r="G145" s="233" t="s">
        <v>1064</v>
      </c>
      <c r="H145" s="229">
        <f t="shared" ref="H145" si="31">F145</f>
        <v>6000</v>
      </c>
      <c r="I145" s="229" t="s">
        <v>44</v>
      </c>
      <c r="J145" s="343">
        <v>44779</v>
      </c>
      <c r="K145" s="344" t="s">
        <v>68</v>
      </c>
      <c r="L145" s="343">
        <v>44778</v>
      </c>
      <c r="M145" s="343">
        <v>44778</v>
      </c>
      <c r="N145" s="344"/>
      <c r="O145" s="228"/>
      <c r="Q145" s="161"/>
      <c r="R145" s="119"/>
      <c r="S145" s="119"/>
    </row>
    <row r="146" spans="1:19" s="118" customFormat="1" ht="105">
      <c r="A146" s="335">
        <v>2</v>
      </c>
      <c r="B146" s="230" t="s">
        <v>1065</v>
      </c>
      <c r="C146" s="343">
        <v>44774</v>
      </c>
      <c r="D146" s="231" t="s">
        <v>140</v>
      </c>
      <c r="E146" s="233" t="s">
        <v>1066</v>
      </c>
      <c r="F146" s="335">
        <v>7000</v>
      </c>
      <c r="G146" s="233" t="s">
        <v>1067</v>
      </c>
      <c r="H146" s="229">
        <f t="shared" ref="H146" si="32">F146</f>
        <v>7000</v>
      </c>
      <c r="I146" s="229" t="s">
        <v>44</v>
      </c>
      <c r="J146" s="343">
        <v>44780</v>
      </c>
      <c r="K146" s="344" t="s">
        <v>68</v>
      </c>
      <c r="L146" s="343">
        <v>44778</v>
      </c>
      <c r="M146" s="343">
        <v>44778</v>
      </c>
      <c r="N146" s="344"/>
      <c r="O146" s="228"/>
      <c r="Q146" s="161"/>
      <c r="R146" s="119"/>
      <c r="S146" s="119"/>
    </row>
    <row r="147" spans="1:19" s="408" customFormat="1" ht="126">
      <c r="A147" s="404">
        <v>3</v>
      </c>
      <c r="B147" s="302" t="s">
        <v>1071</v>
      </c>
      <c r="C147" s="405">
        <v>44774</v>
      </c>
      <c r="D147" s="303" t="s">
        <v>141</v>
      </c>
      <c r="E147" s="305" t="s">
        <v>1074</v>
      </c>
      <c r="F147" s="404">
        <v>3274</v>
      </c>
      <c r="G147" s="305" t="s">
        <v>1072</v>
      </c>
      <c r="H147" s="301">
        <f t="shared" ref="H147" si="33">F147</f>
        <v>3274</v>
      </c>
      <c r="I147" s="301" t="s">
        <v>44</v>
      </c>
      <c r="J147" s="405">
        <v>44789</v>
      </c>
      <c r="K147" s="406" t="s">
        <v>26</v>
      </c>
      <c r="L147" s="343">
        <v>44783</v>
      </c>
      <c r="M147" s="343">
        <v>44783</v>
      </c>
      <c r="N147" s="406"/>
      <c r="O147" s="407"/>
      <c r="Q147" s="409"/>
      <c r="R147" s="410"/>
      <c r="S147" s="410"/>
    </row>
    <row r="148" spans="1:19" s="408" customFormat="1" ht="126">
      <c r="A148" s="404">
        <v>4</v>
      </c>
      <c r="B148" s="302" t="s">
        <v>1073</v>
      </c>
      <c r="C148" s="405">
        <v>44783</v>
      </c>
      <c r="D148" s="303" t="s">
        <v>143</v>
      </c>
      <c r="E148" s="305" t="s">
        <v>1075</v>
      </c>
      <c r="F148" s="404">
        <v>500</v>
      </c>
      <c r="G148" s="233" t="s">
        <v>555</v>
      </c>
      <c r="H148" s="301">
        <f t="shared" ref="H148" si="34">F148</f>
        <v>500</v>
      </c>
      <c r="I148" s="301" t="s">
        <v>44</v>
      </c>
      <c r="J148" s="405">
        <v>44788</v>
      </c>
      <c r="K148" s="406" t="s">
        <v>68</v>
      </c>
      <c r="L148" s="405">
        <v>44788</v>
      </c>
      <c r="M148" s="405">
        <v>44788</v>
      </c>
      <c r="N148" s="406"/>
      <c r="O148" s="407"/>
      <c r="Q148" s="409"/>
      <c r="R148" s="410"/>
      <c r="S148" s="410"/>
    </row>
    <row r="149" spans="1:19" s="408" customFormat="1" ht="147">
      <c r="A149" s="404">
        <v>5</v>
      </c>
      <c r="B149" s="302" t="s">
        <v>1076</v>
      </c>
      <c r="C149" s="405">
        <v>44783</v>
      </c>
      <c r="D149" s="303" t="s">
        <v>153</v>
      </c>
      <c r="E149" s="305" t="s">
        <v>1077</v>
      </c>
      <c r="F149" s="404">
        <v>4090</v>
      </c>
      <c r="G149" s="233" t="s">
        <v>555</v>
      </c>
      <c r="H149" s="301">
        <f t="shared" ref="H149" si="35">F149</f>
        <v>4090</v>
      </c>
      <c r="I149" s="301" t="s">
        <v>44</v>
      </c>
      <c r="J149" s="405">
        <v>44791</v>
      </c>
      <c r="K149" s="406" t="s">
        <v>38</v>
      </c>
      <c r="L149" s="405">
        <v>44788</v>
      </c>
      <c r="M149" s="405">
        <v>44788</v>
      </c>
      <c r="N149" s="406"/>
      <c r="O149" s="407"/>
      <c r="Q149" s="409"/>
      <c r="R149" s="410"/>
      <c r="S149" s="410"/>
    </row>
    <row r="150" spans="1:19" s="408" customFormat="1" ht="126">
      <c r="A150" s="404">
        <v>6</v>
      </c>
      <c r="B150" s="302" t="s">
        <v>1088</v>
      </c>
      <c r="C150" s="405">
        <v>44795</v>
      </c>
      <c r="D150" s="303" t="s">
        <v>154</v>
      </c>
      <c r="E150" s="305" t="s">
        <v>1089</v>
      </c>
      <c r="F150" s="404">
        <v>16300</v>
      </c>
      <c r="G150" s="305" t="s">
        <v>1090</v>
      </c>
      <c r="H150" s="301">
        <f t="shared" ref="H150" si="36">F150</f>
        <v>16300</v>
      </c>
      <c r="I150" s="301" t="s">
        <v>44</v>
      </c>
      <c r="J150" s="405">
        <v>44802</v>
      </c>
      <c r="K150" s="406" t="s">
        <v>68</v>
      </c>
      <c r="L150" s="405">
        <v>44797</v>
      </c>
      <c r="M150" s="405">
        <v>44797</v>
      </c>
      <c r="N150" s="406"/>
      <c r="O150" s="407"/>
      <c r="Q150" s="409"/>
      <c r="R150" s="410"/>
      <c r="S150" s="410"/>
    </row>
    <row r="151" spans="1:19" s="408" customFormat="1" ht="105">
      <c r="A151" s="404">
        <v>7</v>
      </c>
      <c r="B151" s="302" t="s">
        <v>1093</v>
      </c>
      <c r="C151" s="405">
        <v>44795</v>
      </c>
      <c r="D151" s="303" t="s">
        <v>146</v>
      </c>
      <c r="E151" s="305" t="s">
        <v>1136</v>
      </c>
      <c r="F151" s="404">
        <f>170*25</f>
        <v>4250</v>
      </c>
      <c r="G151" s="140" t="s">
        <v>184</v>
      </c>
      <c r="H151" s="301">
        <f t="shared" ref="H151" si="37">F151</f>
        <v>4250</v>
      </c>
      <c r="I151" s="301" t="s">
        <v>44</v>
      </c>
      <c r="J151" s="405">
        <v>44802</v>
      </c>
      <c r="K151" s="406" t="s">
        <v>68</v>
      </c>
      <c r="L151" s="405">
        <v>44802</v>
      </c>
      <c r="M151" s="405">
        <v>44802</v>
      </c>
      <c r="N151" s="406"/>
      <c r="O151" s="407"/>
      <c r="Q151" s="409"/>
      <c r="R151" s="410"/>
      <c r="S151" s="410"/>
    </row>
    <row r="152" spans="1:19" s="408" customFormat="1" ht="84">
      <c r="A152" s="404">
        <v>8</v>
      </c>
      <c r="B152" s="302" t="s">
        <v>1094</v>
      </c>
      <c r="C152" s="405">
        <v>44797</v>
      </c>
      <c r="D152" s="303" t="s">
        <v>147</v>
      </c>
      <c r="E152" s="305" t="s">
        <v>1095</v>
      </c>
      <c r="F152" s="404">
        <v>19800</v>
      </c>
      <c r="G152" s="305" t="s">
        <v>1096</v>
      </c>
      <c r="H152" s="301">
        <f t="shared" ref="H152" si="38">F152</f>
        <v>19800</v>
      </c>
      <c r="I152" s="301" t="s">
        <v>44</v>
      </c>
      <c r="J152" s="405">
        <v>44827</v>
      </c>
      <c r="K152" s="406" t="s">
        <v>38</v>
      </c>
      <c r="L152" s="405"/>
      <c r="M152" s="405"/>
      <c r="N152" s="406"/>
      <c r="O152" s="407"/>
      <c r="Q152" s="409"/>
      <c r="R152" s="410"/>
      <c r="S152" s="410"/>
    </row>
    <row r="153" spans="1:19" s="408" customFormat="1">
      <c r="A153" s="453"/>
      <c r="B153" s="454"/>
      <c r="C153" s="455"/>
      <c r="D153" s="456"/>
      <c r="E153" s="457"/>
      <c r="F153" s="453"/>
      <c r="G153" s="457"/>
      <c r="H153" s="458"/>
      <c r="I153" s="458"/>
      <c r="J153" s="455"/>
      <c r="K153" s="459"/>
      <c r="L153" s="455"/>
      <c r="M153" s="455"/>
      <c r="N153" s="459"/>
      <c r="O153" s="311"/>
      <c r="Q153" s="409"/>
      <c r="R153" s="410"/>
      <c r="S153" s="410"/>
    </row>
    <row r="154" spans="1:19" s="408" customFormat="1">
      <c r="B154" s="327"/>
      <c r="C154" s="461"/>
      <c r="D154" s="328"/>
      <c r="E154" s="311"/>
      <c r="G154" s="311"/>
      <c r="H154" s="312"/>
      <c r="I154" s="312"/>
      <c r="J154" s="461"/>
      <c r="K154" s="462"/>
      <c r="L154" s="461"/>
      <c r="M154" s="461"/>
      <c r="N154" s="462"/>
      <c r="O154" s="311"/>
      <c r="Q154" s="409"/>
      <c r="R154" s="410"/>
      <c r="S154" s="410"/>
    </row>
    <row r="155" spans="1:19" s="408" customFormat="1">
      <c r="B155" s="327"/>
      <c r="C155" s="461"/>
      <c r="D155" s="328"/>
      <c r="E155" s="311"/>
      <c r="G155" s="311"/>
      <c r="H155" s="312"/>
      <c r="I155" s="312"/>
      <c r="J155" s="461"/>
      <c r="K155" s="462"/>
      <c r="L155" s="461"/>
      <c r="M155" s="461"/>
      <c r="N155" s="462"/>
      <c r="O155" s="311"/>
      <c r="Q155" s="409"/>
      <c r="R155" s="410"/>
      <c r="S155" s="410"/>
    </row>
    <row r="156" spans="1:19" s="408" customFormat="1">
      <c r="B156" s="327"/>
      <c r="C156" s="461"/>
      <c r="D156" s="328"/>
      <c r="E156" s="311"/>
      <c r="G156" s="311"/>
      <c r="H156" s="312"/>
      <c r="I156" s="312"/>
      <c r="J156" s="461"/>
      <c r="K156" s="462"/>
      <c r="L156" s="461"/>
      <c r="M156" s="461"/>
      <c r="N156" s="462"/>
      <c r="O156" s="311"/>
      <c r="Q156" s="409"/>
      <c r="R156" s="410"/>
      <c r="S156" s="410"/>
    </row>
    <row r="157" spans="1:19" s="408" customFormat="1">
      <c r="B157" s="327"/>
      <c r="C157" s="461"/>
      <c r="D157" s="328"/>
      <c r="E157" s="311"/>
      <c r="G157" s="311"/>
      <c r="H157" s="312"/>
      <c r="I157" s="312"/>
      <c r="J157" s="461"/>
      <c r="K157" s="462"/>
      <c r="L157" s="461"/>
      <c r="M157" s="461"/>
      <c r="N157" s="462"/>
      <c r="O157" s="311"/>
      <c r="Q157" s="409"/>
      <c r="R157" s="410"/>
      <c r="S157" s="410"/>
    </row>
    <row r="158" spans="1:19" s="67" customFormat="1" ht="25.5" customHeight="1">
      <c r="A158" s="548" t="s">
        <v>1120</v>
      </c>
      <c r="B158" s="548"/>
      <c r="C158" s="548"/>
      <c r="D158" s="548"/>
      <c r="E158" s="548"/>
      <c r="F158" s="52"/>
      <c r="G158" s="374"/>
      <c r="H158" s="52"/>
      <c r="I158" s="52"/>
      <c r="J158" s="52"/>
      <c r="K158" s="52"/>
      <c r="L158" s="374"/>
      <c r="M158" s="374"/>
      <c r="N158" s="76"/>
      <c r="O158" s="116"/>
      <c r="P158" s="116"/>
    </row>
    <row r="159" spans="1:19" s="408" customFormat="1" ht="105">
      <c r="A159" s="404">
        <v>1</v>
      </c>
      <c r="B159" s="302" t="s">
        <v>1119</v>
      </c>
      <c r="C159" s="405">
        <v>44810</v>
      </c>
      <c r="D159" s="303" t="s">
        <v>151</v>
      </c>
      <c r="E159" s="305" t="s">
        <v>1121</v>
      </c>
      <c r="F159" s="404">
        <v>35530</v>
      </c>
      <c r="G159" s="305" t="s">
        <v>1122</v>
      </c>
      <c r="H159" s="301">
        <f t="shared" ref="H159" si="39">F159</f>
        <v>35530</v>
      </c>
      <c r="I159" s="301" t="s">
        <v>44</v>
      </c>
      <c r="J159" s="405">
        <v>44817</v>
      </c>
      <c r="K159" s="406" t="s">
        <v>26</v>
      </c>
      <c r="L159" s="405">
        <v>44812</v>
      </c>
      <c r="M159" s="405">
        <v>44812</v>
      </c>
      <c r="N159" s="406" t="s">
        <v>1148</v>
      </c>
      <c r="O159" s="407"/>
      <c r="Q159" s="409"/>
      <c r="R159" s="410"/>
      <c r="S159" s="410"/>
    </row>
    <row r="160" spans="1:19" s="408" customFormat="1" ht="126">
      <c r="A160" s="404">
        <v>2</v>
      </c>
      <c r="B160" s="302" t="s">
        <v>1142</v>
      </c>
      <c r="C160" s="405">
        <v>44812</v>
      </c>
      <c r="D160" s="303" t="s">
        <v>152</v>
      </c>
      <c r="E160" s="305" t="s">
        <v>1143</v>
      </c>
      <c r="F160" s="404">
        <v>500</v>
      </c>
      <c r="G160" s="233" t="s">
        <v>555</v>
      </c>
      <c r="H160" s="301">
        <f t="shared" ref="H160" si="40">F160</f>
        <v>500</v>
      </c>
      <c r="I160" s="301" t="s">
        <v>44</v>
      </c>
      <c r="J160" s="405">
        <v>44817</v>
      </c>
      <c r="K160" s="406" t="s">
        <v>26</v>
      </c>
      <c r="L160" s="405"/>
      <c r="M160" s="405"/>
      <c r="N160" s="406"/>
      <c r="O160" s="407"/>
      <c r="Q160" s="409"/>
      <c r="R160" s="410"/>
      <c r="S160" s="410"/>
    </row>
    <row r="161" spans="1:19" s="118" customFormat="1" ht="105">
      <c r="A161" s="335">
        <v>3</v>
      </c>
      <c r="B161" s="230" t="s">
        <v>1146</v>
      </c>
      <c r="C161" s="343">
        <v>44823</v>
      </c>
      <c r="D161" s="231" t="s">
        <v>456</v>
      </c>
      <c r="E161" s="233" t="s">
        <v>1147</v>
      </c>
      <c r="F161" s="335">
        <v>29790</v>
      </c>
      <c r="G161" s="233" t="s">
        <v>1151</v>
      </c>
      <c r="H161" s="229">
        <f t="shared" ref="H161:H162" si="41">F161</f>
        <v>29790</v>
      </c>
      <c r="I161" s="229" t="s">
        <v>44</v>
      </c>
      <c r="J161" s="343">
        <v>44828</v>
      </c>
      <c r="K161" s="344" t="s">
        <v>26</v>
      </c>
      <c r="L161" s="343"/>
      <c r="M161" s="343"/>
      <c r="N161" s="344" t="s">
        <v>1148</v>
      </c>
      <c r="O161" s="228"/>
      <c r="Q161" s="161"/>
      <c r="R161" s="119"/>
      <c r="S161" s="119"/>
    </row>
    <row r="162" spans="1:19" s="408" customFormat="1" ht="105">
      <c r="A162" s="404">
        <v>4</v>
      </c>
      <c r="B162" s="302" t="s">
        <v>1168</v>
      </c>
      <c r="C162" s="405">
        <v>44826</v>
      </c>
      <c r="D162" s="303" t="s">
        <v>156</v>
      </c>
      <c r="E162" s="305" t="s">
        <v>1169</v>
      </c>
      <c r="F162" s="404">
        <f>40*390</f>
        <v>15600</v>
      </c>
      <c r="G162" s="140" t="s">
        <v>1170</v>
      </c>
      <c r="H162" s="301">
        <f t="shared" si="41"/>
        <v>15600</v>
      </c>
      <c r="I162" s="301" t="s">
        <v>44</v>
      </c>
      <c r="J162" s="405">
        <v>44802</v>
      </c>
      <c r="K162" s="406" t="s">
        <v>68</v>
      </c>
      <c r="L162" s="405">
        <v>44834</v>
      </c>
      <c r="M162" s="405"/>
      <c r="N162" s="406"/>
      <c r="O162" s="407"/>
      <c r="Q162" s="409"/>
      <c r="R162" s="410"/>
      <c r="S162" s="410"/>
    </row>
  </sheetData>
  <mergeCells count="22">
    <mergeCell ref="A158:E158"/>
    <mergeCell ref="A68:E68"/>
    <mergeCell ref="E69:E70"/>
    <mergeCell ref="G69:G70"/>
    <mergeCell ref="A7:E7"/>
    <mergeCell ref="A57:E57"/>
    <mergeCell ref="A44:E44"/>
    <mergeCell ref="A32:E32"/>
    <mergeCell ref="A15:E15"/>
    <mergeCell ref="A144:E144"/>
    <mergeCell ref="A1:M1"/>
    <mergeCell ref="A2:M2"/>
    <mergeCell ref="A3:M3"/>
    <mergeCell ref="E5:E6"/>
    <mergeCell ref="G5:G6"/>
    <mergeCell ref="L5:L6"/>
    <mergeCell ref="M5:M6"/>
    <mergeCell ref="L69:L70"/>
    <mergeCell ref="M69:M70"/>
    <mergeCell ref="A91:E91"/>
    <mergeCell ref="A115:E115"/>
    <mergeCell ref="A130:E130"/>
  </mergeCells>
  <pageMargins left="0.55118110236220474" right="0.23622047244094491" top="0.39370078740157483" bottom="0.19685039370078741" header="0.31496062992125984" footer="0.31496062992125984"/>
  <pageSetup paperSize="5" orientation="landscape"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3"/>
  <sheetViews>
    <sheetView view="pageBreakPreview" zoomScaleNormal="100" zoomScaleSheetLayoutView="100" workbookViewId="0">
      <pane ySplit="6" topLeftCell="A16" activePane="bottomLeft" state="frozen"/>
      <selection pane="bottomLeft" activeCell="F39" sqref="F39"/>
    </sheetView>
  </sheetViews>
  <sheetFormatPr defaultColWidth="9" defaultRowHeight="21"/>
  <cols>
    <col min="1" max="1" width="4.28515625" style="9" customWidth="1"/>
    <col min="2" max="2" width="11.28515625" style="21" customWidth="1"/>
    <col min="3" max="3" width="7.140625" style="1" bestFit="1" customWidth="1"/>
    <col min="4" max="4" width="9.85546875" style="1" customWidth="1"/>
    <col min="5" max="5" width="31.28515625" style="1" customWidth="1"/>
    <col min="6" max="6" width="11.7109375" style="1" customWidth="1"/>
    <col min="7" max="7" width="31.7109375" style="1" customWidth="1"/>
    <col min="8" max="8" width="8.5703125" style="1" bestFit="1" customWidth="1"/>
    <col min="9" max="9" width="6.7109375" style="9" customWidth="1"/>
    <col min="10" max="12" width="6.7109375" style="1" customWidth="1"/>
    <col min="13" max="13" width="5.28515625" style="1" customWidth="1"/>
    <col min="14" max="14" width="22.28515625" style="23" customWidth="1"/>
    <col min="15" max="15" width="10.85546875" style="10" customWidth="1"/>
    <col min="16" max="16" width="9" style="30"/>
    <col min="17" max="17" width="9" style="371"/>
    <col min="18" max="18" width="14.85546875" style="1" customWidth="1"/>
    <col min="19" max="16384" width="9" style="1"/>
  </cols>
  <sheetData>
    <row r="1" spans="1:18">
      <c r="A1" s="555" t="s">
        <v>648</v>
      </c>
      <c r="B1" s="555"/>
      <c r="C1" s="555"/>
      <c r="D1" s="555"/>
      <c r="E1" s="555"/>
      <c r="F1" s="555"/>
      <c r="G1" s="555"/>
      <c r="H1" s="555"/>
      <c r="I1" s="555"/>
      <c r="J1" s="555"/>
      <c r="K1" s="555"/>
      <c r="L1" s="555"/>
      <c r="M1" s="555"/>
    </row>
    <row r="2" spans="1:18">
      <c r="A2" s="555" t="s">
        <v>23</v>
      </c>
      <c r="B2" s="555"/>
      <c r="C2" s="555"/>
      <c r="D2" s="555"/>
      <c r="E2" s="555"/>
      <c r="F2" s="555"/>
      <c r="G2" s="555"/>
      <c r="H2" s="555"/>
      <c r="I2" s="555"/>
      <c r="J2" s="555"/>
      <c r="K2" s="555"/>
      <c r="L2" s="555"/>
      <c r="M2" s="555"/>
    </row>
    <row r="3" spans="1:18">
      <c r="A3" s="555" t="s">
        <v>69</v>
      </c>
      <c r="B3" s="555"/>
      <c r="C3" s="555"/>
      <c r="D3" s="555"/>
      <c r="E3" s="555"/>
      <c r="F3" s="555"/>
      <c r="G3" s="555"/>
      <c r="H3" s="555"/>
      <c r="I3" s="555"/>
      <c r="J3" s="555"/>
      <c r="K3" s="555"/>
      <c r="L3" s="555"/>
      <c r="M3" s="555"/>
    </row>
    <row r="4" spans="1:18">
      <c r="A4" s="27"/>
      <c r="B4" s="17"/>
      <c r="C4" s="2"/>
      <c r="D4" s="2"/>
      <c r="E4" s="2"/>
      <c r="F4" s="2"/>
      <c r="G4" s="2"/>
      <c r="H4" s="2"/>
      <c r="I4" s="2"/>
      <c r="J4" s="2"/>
      <c r="K4" s="2"/>
      <c r="L4" s="2"/>
      <c r="M4" s="2"/>
    </row>
    <row r="5" spans="1:18" s="4" customFormat="1" ht="25.5" customHeight="1">
      <c r="A5" s="3" t="s">
        <v>0</v>
      </c>
      <c r="B5" s="18" t="s">
        <v>21</v>
      </c>
      <c r="C5" s="3" t="s">
        <v>36</v>
      </c>
      <c r="D5" s="3" t="s">
        <v>14</v>
      </c>
      <c r="E5" s="25" t="s">
        <v>2</v>
      </c>
      <c r="F5" s="3" t="s">
        <v>19</v>
      </c>
      <c r="G5" s="28" t="s">
        <v>17</v>
      </c>
      <c r="H5" s="3" t="s">
        <v>6</v>
      </c>
      <c r="I5" s="3" t="s">
        <v>8</v>
      </c>
      <c r="J5" s="3" t="s">
        <v>10</v>
      </c>
      <c r="K5" s="3" t="s">
        <v>11</v>
      </c>
      <c r="L5" s="556" t="s">
        <v>13</v>
      </c>
      <c r="M5" s="556" t="s">
        <v>39</v>
      </c>
      <c r="N5" s="24"/>
      <c r="O5" s="22"/>
      <c r="P5" s="31"/>
      <c r="Q5" s="31"/>
    </row>
    <row r="6" spans="1:18" s="4" customFormat="1" ht="25.5" customHeight="1">
      <c r="A6" s="5" t="s">
        <v>1</v>
      </c>
      <c r="B6" s="19" t="s">
        <v>25</v>
      </c>
      <c r="C6" s="5" t="s">
        <v>4</v>
      </c>
      <c r="D6" s="5" t="s">
        <v>5</v>
      </c>
      <c r="E6" s="26"/>
      <c r="F6" s="5" t="s">
        <v>20</v>
      </c>
      <c r="G6" s="29" t="s">
        <v>18</v>
      </c>
      <c r="H6" s="5" t="s">
        <v>7</v>
      </c>
      <c r="I6" s="5" t="s">
        <v>9</v>
      </c>
      <c r="J6" s="5" t="s">
        <v>14</v>
      </c>
      <c r="K6" s="5" t="s">
        <v>12</v>
      </c>
      <c r="L6" s="557"/>
      <c r="M6" s="557"/>
      <c r="N6" s="24"/>
      <c r="O6" s="22"/>
      <c r="P6" s="31"/>
      <c r="Q6" s="31"/>
    </row>
    <row r="7" spans="1:18" s="11" customFormat="1">
      <c r="A7" s="554" t="s">
        <v>70</v>
      </c>
      <c r="B7" s="554"/>
      <c r="C7" s="554"/>
      <c r="D7" s="554"/>
      <c r="E7" s="554"/>
      <c r="F7" s="345"/>
      <c r="G7" s="345"/>
      <c r="H7" s="345"/>
      <c r="I7" s="346"/>
      <c r="J7" s="345"/>
      <c r="K7" s="345"/>
      <c r="L7" s="345"/>
      <c r="M7" s="347"/>
      <c r="N7" s="46"/>
      <c r="O7" s="47"/>
      <c r="P7" s="33"/>
      <c r="Q7" s="33"/>
      <c r="R7" s="35"/>
    </row>
    <row r="8" spans="1:18" s="147" customFormat="1" ht="126">
      <c r="A8" s="348">
        <v>1</v>
      </c>
      <c r="B8" s="349" t="s">
        <v>42</v>
      </c>
      <c r="C8" s="350" t="s">
        <v>71</v>
      </c>
      <c r="D8" s="351">
        <v>44470</v>
      </c>
      <c r="E8" s="352" t="s">
        <v>622</v>
      </c>
      <c r="F8" s="348">
        <v>500000</v>
      </c>
      <c r="G8" s="300" t="s">
        <v>171</v>
      </c>
      <c r="H8" s="348">
        <f>F8</f>
        <v>500000</v>
      </c>
      <c r="I8" s="348" t="s">
        <v>34</v>
      </c>
      <c r="J8" s="353" t="s">
        <v>172</v>
      </c>
      <c r="K8" s="348" t="s">
        <v>37</v>
      </c>
      <c r="L8" s="351" t="s">
        <v>41</v>
      </c>
      <c r="M8" s="354"/>
      <c r="N8" s="146"/>
      <c r="P8" s="148"/>
      <c r="Q8" s="372"/>
    </row>
    <row r="9" spans="1:18" s="147" customFormat="1">
      <c r="A9" s="428"/>
      <c r="B9" s="429"/>
      <c r="C9" s="430"/>
      <c r="D9" s="431"/>
      <c r="E9" s="432"/>
      <c r="F9" s="428"/>
      <c r="G9" s="299"/>
      <c r="H9" s="428"/>
      <c r="I9" s="428"/>
      <c r="J9" s="433"/>
      <c r="K9" s="428"/>
      <c r="L9" s="431"/>
      <c r="M9" s="467"/>
      <c r="N9" s="434"/>
      <c r="O9" s="435"/>
      <c r="P9" s="148"/>
      <c r="Q9" s="372"/>
    </row>
    <row r="10" spans="1:18" s="11" customFormat="1">
      <c r="A10" s="553" t="s">
        <v>649</v>
      </c>
      <c r="B10" s="553"/>
      <c r="C10" s="553"/>
      <c r="D10" s="553"/>
      <c r="E10" s="553"/>
      <c r="F10" s="10"/>
      <c r="G10" s="10"/>
      <c r="H10" s="10"/>
      <c r="I10" s="380"/>
      <c r="J10" s="10"/>
      <c r="K10" s="10"/>
      <c r="L10" s="10"/>
      <c r="M10" s="427"/>
      <c r="N10" s="46"/>
      <c r="O10" s="47"/>
      <c r="P10" s="33"/>
      <c r="Q10" s="33"/>
      <c r="R10" s="35"/>
    </row>
    <row r="11" spans="1:18" s="147" customFormat="1" ht="126">
      <c r="A11" s="348">
        <v>1</v>
      </c>
      <c r="B11" s="349" t="s">
        <v>42</v>
      </c>
      <c r="C11" s="350" t="s">
        <v>108</v>
      </c>
      <c r="D11" s="351">
        <v>44624</v>
      </c>
      <c r="E11" s="352" t="s">
        <v>623</v>
      </c>
      <c r="F11" s="348">
        <v>200000</v>
      </c>
      <c r="G11" s="300" t="s">
        <v>171</v>
      </c>
      <c r="H11" s="348">
        <f>F11</f>
        <v>200000</v>
      </c>
      <c r="I11" s="348" t="s">
        <v>34</v>
      </c>
      <c r="J11" s="353" t="s">
        <v>624</v>
      </c>
      <c r="K11" s="348" t="s">
        <v>37</v>
      </c>
      <c r="L11" s="351" t="s">
        <v>41</v>
      </c>
      <c r="M11" s="354"/>
      <c r="N11" s="146"/>
      <c r="P11" s="148"/>
      <c r="Q11" s="372"/>
    </row>
    <row r="12" spans="1:18" s="147" customFormat="1">
      <c r="A12" s="446"/>
      <c r="B12" s="447"/>
      <c r="C12" s="448"/>
      <c r="D12" s="449"/>
      <c r="E12" s="450"/>
      <c r="F12" s="446"/>
      <c r="G12" s="451"/>
      <c r="H12" s="446"/>
      <c r="I12" s="446"/>
      <c r="J12" s="452"/>
      <c r="K12" s="446"/>
      <c r="L12" s="449"/>
      <c r="M12" s="446"/>
      <c r="N12" s="434"/>
      <c r="O12" s="435"/>
      <c r="P12" s="148"/>
      <c r="Q12" s="372"/>
    </row>
    <row r="13" spans="1:18" s="147" customFormat="1">
      <c r="A13" s="428"/>
      <c r="B13" s="429"/>
      <c r="C13" s="430"/>
      <c r="D13" s="431"/>
      <c r="E13" s="432"/>
      <c r="F13" s="428"/>
      <c r="G13" s="299"/>
      <c r="H13" s="428"/>
      <c r="I13" s="428"/>
      <c r="J13" s="433"/>
      <c r="K13" s="428"/>
      <c r="L13" s="431"/>
      <c r="M13" s="428"/>
      <c r="N13" s="434"/>
      <c r="O13" s="435"/>
      <c r="P13" s="148"/>
      <c r="Q13" s="372"/>
    </row>
    <row r="14" spans="1:18" s="147" customFormat="1">
      <c r="A14" s="428"/>
      <c r="B14" s="429"/>
      <c r="C14" s="430"/>
      <c r="D14" s="431"/>
      <c r="E14" s="432"/>
      <c r="F14" s="428"/>
      <c r="G14" s="299"/>
      <c r="H14" s="428"/>
      <c r="I14" s="428"/>
      <c r="J14" s="433"/>
      <c r="K14" s="428"/>
      <c r="L14" s="431"/>
      <c r="M14" s="428"/>
      <c r="N14" s="434"/>
      <c r="O14" s="435"/>
      <c r="P14" s="148"/>
      <c r="Q14" s="372"/>
    </row>
    <row r="15" spans="1:18" s="147" customFormat="1">
      <c r="A15" s="428"/>
      <c r="B15" s="429"/>
      <c r="C15" s="430"/>
      <c r="D15" s="431"/>
      <c r="E15" s="432"/>
      <c r="F15" s="428"/>
      <c r="G15" s="299"/>
      <c r="H15" s="428"/>
      <c r="I15" s="428"/>
      <c r="J15" s="433"/>
      <c r="K15" s="428"/>
      <c r="L15" s="431"/>
      <c r="M15" s="428"/>
      <c r="N15" s="434"/>
      <c r="O15" s="435"/>
      <c r="P15" s="148"/>
      <c r="Q15" s="372"/>
    </row>
    <row r="16" spans="1:18" s="11" customFormat="1">
      <c r="A16" s="553" t="s">
        <v>932</v>
      </c>
      <c r="B16" s="553"/>
      <c r="C16" s="553"/>
      <c r="D16" s="553"/>
      <c r="E16" s="553"/>
      <c r="F16" s="10"/>
      <c r="G16" s="10"/>
      <c r="H16" s="10"/>
      <c r="I16" s="380"/>
      <c r="J16" s="10"/>
      <c r="K16" s="10"/>
      <c r="L16" s="10"/>
      <c r="M16" s="427"/>
      <c r="N16" s="46"/>
      <c r="O16" s="47"/>
      <c r="P16" s="33"/>
      <c r="Q16" s="33"/>
      <c r="R16" s="35"/>
    </row>
    <row r="17" spans="1:18" s="147" customFormat="1" ht="126">
      <c r="A17" s="348">
        <v>1</v>
      </c>
      <c r="B17" s="349" t="s">
        <v>42</v>
      </c>
      <c r="C17" s="350" t="s">
        <v>109</v>
      </c>
      <c r="D17" s="351">
        <v>44686</v>
      </c>
      <c r="E17" s="352" t="s">
        <v>785</v>
      </c>
      <c r="F17" s="348">
        <v>150000</v>
      </c>
      <c r="G17" s="300" t="s">
        <v>171</v>
      </c>
      <c r="H17" s="348">
        <f>F17</f>
        <v>150000</v>
      </c>
      <c r="I17" s="348" t="s">
        <v>34</v>
      </c>
      <c r="J17" s="353" t="s">
        <v>786</v>
      </c>
      <c r="K17" s="348" t="s">
        <v>37</v>
      </c>
      <c r="L17" s="351" t="s">
        <v>41</v>
      </c>
      <c r="M17" s="354"/>
      <c r="N17" s="146"/>
      <c r="P17" s="148"/>
      <c r="Q17" s="372"/>
    </row>
    <row r="18" spans="1:18" s="147" customFormat="1">
      <c r="A18" s="428"/>
      <c r="B18" s="429"/>
      <c r="C18" s="430"/>
      <c r="D18" s="431"/>
      <c r="E18" s="432"/>
      <c r="F18" s="428"/>
      <c r="G18" s="299"/>
      <c r="H18" s="428"/>
      <c r="I18" s="428"/>
      <c r="J18" s="433"/>
      <c r="K18" s="428"/>
      <c r="L18" s="431"/>
      <c r="M18" s="467"/>
      <c r="N18" s="434"/>
      <c r="O18" s="435"/>
      <c r="P18" s="148"/>
      <c r="Q18" s="372"/>
    </row>
    <row r="19" spans="1:18" s="11" customFormat="1">
      <c r="A19" s="553" t="s">
        <v>933</v>
      </c>
      <c r="B19" s="553"/>
      <c r="C19" s="553"/>
      <c r="D19" s="553"/>
      <c r="E19" s="553"/>
      <c r="F19" s="10"/>
      <c r="G19" s="10"/>
      <c r="H19" s="10"/>
      <c r="I19" s="380"/>
      <c r="J19" s="10"/>
      <c r="K19" s="10"/>
      <c r="L19" s="10"/>
      <c r="M19" s="427"/>
      <c r="N19" s="46"/>
      <c r="O19" s="47"/>
      <c r="P19" s="33"/>
      <c r="Q19" s="33"/>
      <c r="R19" s="35"/>
    </row>
    <row r="20" spans="1:18" s="147" customFormat="1" ht="126">
      <c r="A20" s="348">
        <v>1</v>
      </c>
      <c r="B20" s="349" t="s">
        <v>42</v>
      </c>
      <c r="C20" s="350" t="s">
        <v>110</v>
      </c>
      <c r="D20" s="351">
        <v>44725</v>
      </c>
      <c r="E20" s="352" t="s">
        <v>869</v>
      </c>
      <c r="F20" s="348">
        <v>150000</v>
      </c>
      <c r="G20" s="300" t="s">
        <v>171</v>
      </c>
      <c r="H20" s="348">
        <v>100000</v>
      </c>
      <c r="I20" s="348" t="s">
        <v>34</v>
      </c>
      <c r="J20" s="353" t="s">
        <v>786</v>
      </c>
      <c r="K20" s="348" t="s">
        <v>37</v>
      </c>
      <c r="L20" s="351" t="s">
        <v>41</v>
      </c>
      <c r="M20" s="354"/>
      <c r="N20" s="146"/>
      <c r="P20" s="148"/>
      <c r="Q20" s="372"/>
    </row>
    <row r="21" spans="1:18" s="147" customFormat="1">
      <c r="A21" s="428"/>
      <c r="B21" s="429"/>
      <c r="C21" s="430"/>
      <c r="D21" s="431"/>
      <c r="E21" s="432"/>
      <c r="F21" s="428"/>
      <c r="G21" s="299"/>
      <c r="H21" s="428"/>
      <c r="I21" s="428"/>
      <c r="J21" s="433"/>
      <c r="K21" s="428"/>
      <c r="L21" s="431"/>
      <c r="M21" s="467"/>
      <c r="N21" s="434"/>
      <c r="O21" s="435"/>
      <c r="P21" s="148"/>
      <c r="Q21" s="372"/>
    </row>
    <row r="22" spans="1:18" s="11" customFormat="1">
      <c r="A22" s="553" t="s">
        <v>1069</v>
      </c>
      <c r="B22" s="553"/>
      <c r="C22" s="553"/>
      <c r="D22" s="553"/>
      <c r="E22" s="553"/>
      <c r="F22" s="10"/>
      <c r="G22" s="10"/>
      <c r="H22" s="10"/>
      <c r="I22" s="380"/>
      <c r="J22" s="10"/>
      <c r="K22" s="10"/>
      <c r="L22" s="10"/>
      <c r="M22" s="427"/>
      <c r="N22" s="46"/>
      <c r="O22" s="47"/>
      <c r="P22" s="33"/>
      <c r="Q22" s="33"/>
      <c r="R22" s="35"/>
    </row>
    <row r="23" spans="1:18" s="147" customFormat="1" ht="126">
      <c r="A23" s="348">
        <v>1</v>
      </c>
      <c r="B23" s="349" t="s">
        <v>42</v>
      </c>
      <c r="C23" s="350" t="s">
        <v>111</v>
      </c>
      <c r="D23" s="351">
        <v>44743</v>
      </c>
      <c r="E23" s="352" t="s">
        <v>935</v>
      </c>
      <c r="F23" s="348">
        <v>450000</v>
      </c>
      <c r="G23" s="300" t="s">
        <v>171</v>
      </c>
      <c r="H23" s="348">
        <f>F23</f>
        <v>450000</v>
      </c>
      <c r="I23" s="348" t="s">
        <v>34</v>
      </c>
      <c r="J23" s="353" t="s">
        <v>936</v>
      </c>
      <c r="K23" s="348" t="s">
        <v>37</v>
      </c>
      <c r="L23" s="351" t="s">
        <v>41</v>
      </c>
      <c r="M23" s="354"/>
      <c r="N23" s="146"/>
      <c r="P23" s="148"/>
      <c r="Q23" s="372"/>
    </row>
    <row r="24" spans="1:18" s="12" customFormat="1">
      <c r="A24" s="436"/>
      <c r="B24" s="437"/>
      <c r="C24" s="438"/>
      <c r="D24" s="439"/>
      <c r="E24" s="440"/>
      <c r="F24" s="436"/>
      <c r="G24" s="441"/>
      <c r="H24" s="436"/>
      <c r="I24" s="436"/>
      <c r="J24" s="436"/>
      <c r="K24" s="436"/>
      <c r="L24" s="436"/>
      <c r="M24" s="436"/>
      <c r="N24" s="46" t="s">
        <v>625</v>
      </c>
      <c r="O24" s="47">
        <v>500000</v>
      </c>
      <c r="P24" s="33" t="s">
        <v>53</v>
      </c>
      <c r="Q24" s="33" t="s">
        <v>54</v>
      </c>
      <c r="R24" s="35" t="s">
        <v>15</v>
      </c>
    </row>
    <row r="25" spans="1:18" s="12" customFormat="1">
      <c r="A25" s="380"/>
      <c r="B25" s="442"/>
      <c r="C25" s="443"/>
      <c r="D25" s="444"/>
      <c r="E25" s="10"/>
      <c r="F25" s="380"/>
      <c r="G25" s="23"/>
      <c r="H25" s="380"/>
      <c r="I25" s="380"/>
      <c r="J25" s="380"/>
      <c r="K25" s="380"/>
      <c r="L25" s="380"/>
      <c r="M25" s="380"/>
      <c r="N25" s="146"/>
      <c r="O25" s="147"/>
      <c r="P25" s="148"/>
      <c r="Q25" s="372">
        <f>O24-P25</f>
        <v>500000</v>
      </c>
      <c r="R25" s="147"/>
    </row>
    <row r="26" spans="1:18" s="12" customFormat="1">
      <c r="A26" s="380"/>
      <c r="B26" s="442"/>
      <c r="C26" s="443"/>
      <c r="D26" s="444"/>
      <c r="E26" s="380"/>
      <c r="F26" s="380"/>
      <c r="G26" s="23"/>
      <c r="H26" s="380"/>
      <c r="I26" s="380"/>
      <c r="J26" s="380"/>
      <c r="K26" s="380"/>
      <c r="L26" s="380"/>
      <c r="M26" s="380"/>
      <c r="N26" s="48"/>
      <c r="O26" s="147" t="s">
        <v>57</v>
      </c>
      <c r="P26" s="32">
        <v>106878.92</v>
      </c>
      <c r="Q26" s="373">
        <f>Q25-P26</f>
        <v>393121.08</v>
      </c>
    </row>
    <row r="27" spans="1:18" s="12" customFormat="1">
      <c r="A27" s="380"/>
      <c r="B27" s="442"/>
      <c r="C27" s="443"/>
      <c r="D27" s="444"/>
      <c r="E27" s="380"/>
      <c r="F27" s="380"/>
      <c r="G27" s="380"/>
      <c r="H27" s="380"/>
      <c r="I27" s="380"/>
      <c r="J27" s="380"/>
      <c r="K27" s="380"/>
      <c r="L27" s="380"/>
      <c r="M27" s="380"/>
      <c r="N27" s="48"/>
      <c r="O27" s="12" t="s">
        <v>58</v>
      </c>
      <c r="P27" s="32">
        <v>84783.83</v>
      </c>
      <c r="Q27" s="373">
        <f>Q26-P27</f>
        <v>308337.25</v>
      </c>
    </row>
    <row r="28" spans="1:18">
      <c r="A28" s="380"/>
      <c r="B28" s="445"/>
      <c r="C28" s="10"/>
      <c r="D28" s="10"/>
      <c r="E28" s="10"/>
      <c r="F28" s="10"/>
      <c r="G28" s="10"/>
      <c r="H28" s="10"/>
      <c r="I28" s="380"/>
      <c r="J28" s="10"/>
      <c r="K28" s="10"/>
      <c r="L28" s="10"/>
      <c r="M28" s="10"/>
      <c r="O28" s="147" t="s">
        <v>59</v>
      </c>
      <c r="P28" s="30">
        <v>96817.93</v>
      </c>
      <c r="Q28" s="373">
        <f t="shared" ref="Q28:Q30" si="0">Q27-P28</f>
        <v>211519.32</v>
      </c>
    </row>
    <row r="29" spans="1:18">
      <c r="O29" s="12" t="s">
        <v>60</v>
      </c>
      <c r="P29" s="30">
        <v>95964.53</v>
      </c>
      <c r="Q29" s="373">
        <f t="shared" si="0"/>
        <v>115554.79000000001</v>
      </c>
    </row>
    <row r="30" spans="1:18">
      <c r="O30" s="147" t="s">
        <v>47</v>
      </c>
      <c r="P30" s="30">
        <v>87810.39</v>
      </c>
      <c r="Q30" s="373">
        <f t="shared" si="0"/>
        <v>27744.400000000009</v>
      </c>
    </row>
    <row r="31" spans="1:18">
      <c r="N31" s="46"/>
      <c r="O31" s="10" t="s">
        <v>746</v>
      </c>
      <c r="P31" s="30">
        <v>19633.5</v>
      </c>
      <c r="Q31" s="371">
        <f>Q30-P31</f>
        <v>8110.9000000000087</v>
      </c>
    </row>
    <row r="32" spans="1:18">
      <c r="N32" s="46" t="s">
        <v>626</v>
      </c>
      <c r="O32" s="12"/>
      <c r="Q32" s="371">
        <v>200000</v>
      </c>
    </row>
    <row r="33" spans="14:17">
      <c r="N33" s="46"/>
      <c r="O33" s="12" t="s">
        <v>747</v>
      </c>
      <c r="P33" s="30">
        <v>83745.98</v>
      </c>
      <c r="Q33" s="373">
        <f>Q32-P33</f>
        <v>116254.02</v>
      </c>
    </row>
    <row r="34" spans="14:17">
      <c r="O34" s="380" t="s">
        <v>48</v>
      </c>
      <c r="P34" s="30">
        <v>98362.63</v>
      </c>
      <c r="Q34" s="373">
        <f>Q33-P34</f>
        <v>17891.39</v>
      </c>
    </row>
    <row r="35" spans="14:17">
      <c r="N35" s="46" t="s">
        <v>787</v>
      </c>
      <c r="O35" s="12" t="s">
        <v>49</v>
      </c>
      <c r="Q35" s="371">
        <v>150000</v>
      </c>
    </row>
    <row r="36" spans="14:17">
      <c r="N36" s="46"/>
      <c r="O36" s="12" t="s">
        <v>49</v>
      </c>
      <c r="P36" s="30">
        <v>17305.29</v>
      </c>
      <c r="Q36" s="371">
        <f>Q35-P36</f>
        <v>132694.71</v>
      </c>
    </row>
    <row r="37" spans="14:17">
      <c r="N37" s="46"/>
      <c r="O37" s="12" t="s">
        <v>49</v>
      </c>
      <c r="P37" s="30">
        <v>112877.49</v>
      </c>
      <c r="Q37" s="371">
        <f>Q36-P37</f>
        <v>19817.219999999987</v>
      </c>
    </row>
    <row r="38" spans="14:17">
      <c r="N38" s="46" t="s">
        <v>1117</v>
      </c>
      <c r="O38" s="12"/>
      <c r="Q38" s="371">
        <v>100000</v>
      </c>
    </row>
    <row r="39" spans="14:17">
      <c r="O39" s="380" t="s">
        <v>50</v>
      </c>
    </row>
    <row r="40" spans="14:17">
      <c r="N40" s="46" t="s">
        <v>1116</v>
      </c>
      <c r="O40" s="12"/>
      <c r="Q40" s="371">
        <v>450000</v>
      </c>
    </row>
    <row r="41" spans="14:17">
      <c r="O41" s="12" t="s">
        <v>51</v>
      </c>
      <c r="P41" s="30">
        <v>115173.01</v>
      </c>
      <c r="Q41" s="371">
        <f>Q40-P41</f>
        <v>334826.99</v>
      </c>
    </row>
    <row r="42" spans="14:17">
      <c r="O42" s="12" t="s">
        <v>52</v>
      </c>
      <c r="P42" s="30">
        <v>132820.62</v>
      </c>
      <c r="Q42" s="371">
        <f>Q41-P42</f>
        <v>202006.37</v>
      </c>
    </row>
    <row r="43" spans="14:17">
      <c r="O43" s="12" t="s">
        <v>52</v>
      </c>
      <c r="P43" s="30">
        <v>132820.62</v>
      </c>
    </row>
  </sheetData>
  <mergeCells count="10">
    <mergeCell ref="A1:M1"/>
    <mergeCell ref="A2:M2"/>
    <mergeCell ref="A3:M3"/>
    <mergeCell ref="L5:L6"/>
    <mergeCell ref="M5:M6"/>
    <mergeCell ref="A22:E22"/>
    <mergeCell ref="A16:E16"/>
    <mergeCell ref="A19:E19"/>
    <mergeCell ref="A10:E10"/>
    <mergeCell ref="A7:E7"/>
  </mergeCells>
  <phoneticPr fontId="8" type="noConversion"/>
  <pageMargins left="0.70866141732283472" right="0.70866141732283472" top="0.74803149606299213" bottom="0.74803149606299213" header="0.31496062992125984" footer="0.31496062992125984"/>
  <pageSetup paperSize="5" orientation="landscape"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2"/>
  <sheetViews>
    <sheetView view="pageBreakPreview" zoomScaleNormal="100" zoomScaleSheetLayoutView="100" workbookViewId="0">
      <pane ySplit="6" topLeftCell="A7" activePane="bottomLeft" state="frozen"/>
      <selection pane="bottomLeft" activeCell="O19" sqref="O19"/>
    </sheetView>
  </sheetViews>
  <sheetFormatPr defaultColWidth="9" defaultRowHeight="21"/>
  <cols>
    <col min="1" max="1" width="4.28515625" style="9" customWidth="1"/>
    <col min="2" max="2" width="11.28515625" style="21" customWidth="1"/>
    <col min="3" max="3" width="7.140625" style="1" bestFit="1" customWidth="1"/>
    <col min="4" max="4" width="9.85546875" style="1" customWidth="1"/>
    <col min="5" max="5" width="31.28515625" style="1" customWidth="1"/>
    <col min="6" max="6" width="10.28515625" style="1" customWidth="1"/>
    <col min="7" max="7" width="31.28515625" style="1" customWidth="1"/>
    <col min="8" max="8" width="7.28515625" style="1" customWidth="1"/>
    <col min="9" max="9" width="6" style="9" customWidth="1"/>
    <col min="10" max="10" width="9.28515625" style="1" customWidth="1"/>
    <col min="11" max="12" width="6.7109375" style="1" customWidth="1"/>
    <col min="13" max="13" width="5.28515625" style="1" customWidth="1"/>
    <col min="14" max="14" width="19.85546875" style="23" bestFit="1" customWidth="1"/>
    <col min="15" max="17" width="9" style="10"/>
    <col min="18" max="18" width="9" style="1"/>
    <col min="19" max="19" width="14.28515625" style="1" customWidth="1"/>
    <col min="20" max="16384" width="9" style="1"/>
  </cols>
  <sheetData>
    <row r="1" spans="1:19">
      <c r="A1" s="555" t="s">
        <v>46</v>
      </c>
      <c r="B1" s="555"/>
      <c r="C1" s="555"/>
      <c r="D1" s="555"/>
      <c r="E1" s="555"/>
      <c r="F1" s="555"/>
      <c r="G1" s="555"/>
      <c r="H1" s="555"/>
      <c r="I1" s="555"/>
      <c r="J1" s="555"/>
      <c r="K1" s="555"/>
      <c r="L1" s="555"/>
      <c r="M1" s="555"/>
    </row>
    <row r="2" spans="1:19">
      <c r="A2" s="555" t="s">
        <v>23</v>
      </c>
      <c r="B2" s="555"/>
      <c r="C2" s="555"/>
      <c r="D2" s="555"/>
      <c r="E2" s="555"/>
      <c r="F2" s="555"/>
      <c r="G2" s="555"/>
      <c r="H2" s="555"/>
      <c r="I2" s="555"/>
      <c r="J2" s="555"/>
      <c r="K2" s="555"/>
      <c r="L2" s="555"/>
      <c r="M2" s="555"/>
    </row>
    <row r="3" spans="1:19">
      <c r="A3" s="555" t="s">
        <v>69</v>
      </c>
      <c r="B3" s="555"/>
      <c r="C3" s="555"/>
      <c r="D3" s="555"/>
      <c r="E3" s="555"/>
      <c r="F3" s="555"/>
      <c r="G3" s="555"/>
      <c r="H3" s="555"/>
      <c r="I3" s="555"/>
      <c r="J3" s="555"/>
      <c r="K3" s="555"/>
      <c r="L3" s="555"/>
      <c r="M3" s="555"/>
    </row>
    <row r="4" spans="1:19">
      <c r="A4" s="27"/>
      <c r="B4" s="17"/>
      <c r="C4" s="2"/>
      <c r="D4" s="2"/>
      <c r="E4" s="2"/>
      <c r="F4" s="2"/>
      <c r="G4" s="2"/>
      <c r="H4" s="2"/>
      <c r="I4" s="2"/>
      <c r="J4" s="2"/>
      <c r="K4" s="2"/>
      <c r="L4" s="2"/>
      <c r="M4" s="2"/>
    </row>
    <row r="5" spans="1:19" s="4" customFormat="1" ht="25.5" customHeight="1">
      <c r="A5" s="3" t="s">
        <v>0</v>
      </c>
      <c r="B5" s="18" t="s">
        <v>21</v>
      </c>
      <c r="C5" s="3" t="s">
        <v>36</v>
      </c>
      <c r="D5" s="3" t="s">
        <v>14</v>
      </c>
      <c r="E5" s="25" t="s">
        <v>2</v>
      </c>
      <c r="F5" s="3" t="s">
        <v>19</v>
      </c>
      <c r="G5" s="28" t="s">
        <v>17</v>
      </c>
      <c r="H5" s="3" t="s">
        <v>6</v>
      </c>
      <c r="I5" s="3" t="s">
        <v>8</v>
      </c>
      <c r="J5" s="3" t="s">
        <v>10</v>
      </c>
      <c r="K5" s="3" t="s">
        <v>11</v>
      </c>
      <c r="L5" s="556" t="s">
        <v>13</v>
      </c>
      <c r="M5" s="556" t="s">
        <v>39</v>
      </c>
      <c r="N5" s="23"/>
      <c r="O5" s="22" t="s">
        <v>67</v>
      </c>
      <c r="P5" s="22" t="s">
        <v>66</v>
      </c>
      <c r="Q5" s="22" t="s">
        <v>62</v>
      </c>
      <c r="R5" s="4" t="s">
        <v>53</v>
      </c>
      <c r="S5" s="4" t="s">
        <v>54</v>
      </c>
    </row>
    <row r="6" spans="1:19" s="4" customFormat="1" ht="25.5" customHeight="1">
      <c r="A6" s="5" t="s">
        <v>1</v>
      </c>
      <c r="B6" s="19" t="s">
        <v>25</v>
      </c>
      <c r="C6" s="5" t="s">
        <v>4</v>
      </c>
      <c r="D6" s="5" t="s">
        <v>5</v>
      </c>
      <c r="E6" s="26"/>
      <c r="F6" s="5" t="s">
        <v>20</v>
      </c>
      <c r="G6" s="29"/>
      <c r="H6" s="5" t="s">
        <v>7</v>
      </c>
      <c r="I6" s="5" t="s">
        <v>9</v>
      </c>
      <c r="J6" s="5" t="s">
        <v>14</v>
      </c>
      <c r="K6" s="5" t="s">
        <v>12</v>
      </c>
      <c r="L6" s="557"/>
      <c r="M6" s="557"/>
      <c r="N6" s="23" t="s">
        <v>75</v>
      </c>
      <c r="O6" s="34">
        <v>64800</v>
      </c>
      <c r="P6" s="34">
        <v>0</v>
      </c>
      <c r="Q6" s="34">
        <f>O6+P6</f>
        <v>64800</v>
      </c>
      <c r="R6" s="4">
        <f>O21</f>
        <v>0</v>
      </c>
      <c r="S6" s="4">
        <f>Q6-O8-O10-O11-O12-O13-O14</f>
        <v>64800</v>
      </c>
    </row>
    <row r="7" spans="1:19" s="11" customFormat="1">
      <c r="A7" s="558" t="s">
        <v>72</v>
      </c>
      <c r="B7" s="558"/>
      <c r="C7" s="558"/>
      <c r="D7" s="558"/>
      <c r="E7" s="558"/>
      <c r="I7" s="12"/>
      <c r="M7" s="15"/>
      <c r="N7" s="23" t="s">
        <v>35</v>
      </c>
      <c r="O7" s="34" t="s">
        <v>53</v>
      </c>
      <c r="P7" s="34"/>
      <c r="Q7" s="34"/>
      <c r="R7" s="35" t="s">
        <v>54</v>
      </c>
    </row>
    <row r="8" spans="1:19" s="260" customFormat="1" ht="168">
      <c r="A8" s="95">
        <v>1</v>
      </c>
      <c r="B8" s="96" t="s">
        <v>73</v>
      </c>
      <c r="C8" s="97" t="s">
        <v>71</v>
      </c>
      <c r="D8" s="98">
        <v>44470</v>
      </c>
      <c r="E8" s="257" t="s">
        <v>74</v>
      </c>
      <c r="F8" s="95">
        <v>64800</v>
      </c>
      <c r="G8" s="99" t="s">
        <v>88</v>
      </c>
      <c r="H8" s="100">
        <f>F8</f>
        <v>64800</v>
      </c>
      <c r="I8" s="101" t="s">
        <v>44</v>
      </c>
      <c r="J8" s="102">
        <v>44830</v>
      </c>
      <c r="K8" s="101" t="s">
        <v>37</v>
      </c>
      <c r="L8" s="103"/>
      <c r="M8" s="104"/>
      <c r="N8" s="261"/>
      <c r="O8" s="262"/>
      <c r="P8" s="262"/>
      <c r="Q8" s="262"/>
      <c r="R8" s="262"/>
      <c r="S8" s="262"/>
    </row>
    <row r="9" spans="1:19" s="12" customFormat="1">
      <c r="A9" s="13"/>
      <c r="B9" s="20"/>
      <c r="C9" s="7"/>
      <c r="D9" s="14"/>
      <c r="E9" s="6"/>
      <c r="F9" s="13"/>
      <c r="G9" s="8"/>
      <c r="H9" s="13"/>
      <c r="I9" s="41"/>
      <c r="J9" s="41"/>
      <c r="K9" s="41"/>
      <c r="L9" s="41"/>
      <c r="M9" s="42"/>
      <c r="N9" s="258" t="s">
        <v>76</v>
      </c>
      <c r="O9" s="259"/>
      <c r="P9" s="259"/>
      <c r="Q9" s="259"/>
      <c r="R9" s="259">
        <f>Q7-O9</f>
        <v>0</v>
      </c>
      <c r="S9" s="45" t="s">
        <v>55</v>
      </c>
    </row>
    <row r="10" spans="1:19" s="12" customFormat="1">
      <c r="A10" s="13"/>
      <c r="B10" s="20"/>
      <c r="C10" s="7"/>
      <c r="D10" s="14"/>
      <c r="E10" s="6"/>
      <c r="F10" s="13"/>
      <c r="G10" s="8"/>
      <c r="H10" s="13"/>
      <c r="I10" s="13"/>
      <c r="J10" s="13"/>
      <c r="K10" s="13"/>
      <c r="L10" s="13"/>
      <c r="M10" s="16"/>
      <c r="N10" s="44" t="s">
        <v>77</v>
      </c>
      <c r="O10" s="45"/>
      <c r="P10" s="45"/>
      <c r="Q10" s="45"/>
      <c r="R10" s="45">
        <f>R8-O10</f>
        <v>0</v>
      </c>
      <c r="S10" s="45" t="s">
        <v>55</v>
      </c>
    </row>
    <row r="11" spans="1:19" s="12" customFormat="1">
      <c r="A11" s="13"/>
      <c r="B11" s="20"/>
      <c r="C11" s="7"/>
      <c r="D11" s="14"/>
      <c r="E11" s="13"/>
      <c r="F11" s="13"/>
      <c r="G11" s="8"/>
      <c r="H11" s="13"/>
      <c r="I11" s="13"/>
      <c r="J11" s="13"/>
      <c r="K11" s="13"/>
      <c r="L11" s="13"/>
      <c r="M11" s="16"/>
      <c r="N11" s="44" t="s">
        <v>78</v>
      </c>
      <c r="O11" s="45"/>
      <c r="P11" s="45"/>
      <c r="Q11" s="45"/>
      <c r="R11" s="45">
        <f t="shared" ref="R11:R14" si="0">R10-O11</f>
        <v>0</v>
      </c>
      <c r="S11" s="45"/>
    </row>
    <row r="12" spans="1:19" s="12" customFormat="1">
      <c r="A12" s="36"/>
      <c r="B12" s="37"/>
      <c r="C12" s="38"/>
      <c r="D12" s="39"/>
      <c r="E12" s="36"/>
      <c r="F12" s="36"/>
      <c r="G12" s="36"/>
      <c r="H12" s="36"/>
      <c r="I12" s="36"/>
      <c r="J12" s="36"/>
      <c r="K12" s="36"/>
      <c r="L12" s="36"/>
      <c r="M12" s="40"/>
      <c r="N12" s="44" t="s">
        <v>79</v>
      </c>
      <c r="O12" s="45"/>
      <c r="P12" s="45"/>
      <c r="Q12" s="45"/>
      <c r="R12" s="45">
        <f t="shared" si="0"/>
        <v>0</v>
      </c>
      <c r="S12" s="45"/>
    </row>
    <row r="13" spans="1:19">
      <c r="N13" s="43" t="s">
        <v>80</v>
      </c>
      <c r="O13" s="12"/>
      <c r="P13" s="12"/>
      <c r="Q13" s="12"/>
      <c r="R13" s="45">
        <f t="shared" si="0"/>
        <v>0</v>
      </c>
      <c r="S13" s="12" t="s">
        <v>56</v>
      </c>
    </row>
    <row r="14" spans="1:19">
      <c r="N14" s="43" t="s">
        <v>81</v>
      </c>
      <c r="R14" s="45">
        <f t="shared" si="0"/>
        <v>0</v>
      </c>
    </row>
    <row r="15" spans="1:19">
      <c r="N15" s="43" t="s">
        <v>82</v>
      </c>
      <c r="R15" s="12"/>
    </row>
    <row r="16" spans="1:19">
      <c r="N16" s="43" t="s">
        <v>83</v>
      </c>
    </row>
    <row r="17" spans="14:18">
      <c r="N17" s="43" t="s">
        <v>84</v>
      </c>
      <c r="P17" s="34"/>
      <c r="Q17" s="34"/>
      <c r="R17" s="10"/>
    </row>
    <row r="18" spans="14:18">
      <c r="N18" s="43" t="s">
        <v>85</v>
      </c>
      <c r="O18" s="10">
        <v>5400</v>
      </c>
    </row>
    <row r="19" spans="14:18">
      <c r="N19" s="43" t="s">
        <v>86</v>
      </c>
    </row>
    <row r="20" spans="14:18">
      <c r="N20" s="43" t="s">
        <v>87</v>
      </c>
    </row>
    <row r="21" spans="14:18" ht="21.75" thickBot="1">
      <c r="O21" s="88">
        <f>SUM(O8:O16)</f>
        <v>0</v>
      </c>
    </row>
    <row r="22" spans="14:18" ht="21.75" thickTop="1"/>
  </sheetData>
  <mergeCells count="6">
    <mergeCell ref="A1:M1"/>
    <mergeCell ref="A2:M2"/>
    <mergeCell ref="A3:M3"/>
    <mergeCell ref="A7:E7"/>
    <mergeCell ref="L5:L6"/>
    <mergeCell ref="M5:M6"/>
  </mergeCells>
  <phoneticPr fontId="8" type="noConversion"/>
  <pageMargins left="0.70866141732283472" right="0.70866141732283472" top="0.74803149606299213" bottom="0.74803149606299213" header="0.31496062992125984" footer="0.31496062992125984"/>
  <pageSetup paperSize="5" orientation="landscape"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8</vt:i4>
      </vt:variant>
      <vt:variant>
        <vt:lpstr>ช่วงที่มีชื่อ</vt:lpstr>
      </vt:variant>
      <vt:variant>
        <vt:i4>5</vt:i4>
      </vt:variant>
    </vt:vector>
  </HeadingPairs>
  <TitlesOfParts>
    <vt:vector size="13" baseType="lpstr">
      <vt:lpstr>ทะเบียนคุมประกาศจัดซื้อจัดจ้าง</vt:lpstr>
      <vt:lpstr>สัญญาจ้างก่อสร้าง</vt:lpstr>
      <vt:lpstr>ใบสั่งซื้อ</vt:lpstr>
      <vt:lpstr>ใบสั่งจ้าง (คน)</vt:lpstr>
      <vt:lpstr>ใบสั่งจ้าง (ทรัพย์สิน)</vt:lpstr>
      <vt:lpstr>น้ำมัน</vt:lpstr>
      <vt:lpstr>เครื่องถ่ายเอกสาร</vt:lpstr>
      <vt:lpstr>Sheet1</vt:lpstr>
      <vt:lpstr>ทะเบียนคุมประกาศจัดซื้อจัดจ้าง!Print_Titles</vt:lpstr>
      <vt:lpstr>'ใบสั่งจ้าง (คน)'!Print_Titles</vt:lpstr>
      <vt:lpstr>'ใบสั่งจ้าง (ทรัพย์สิน)'!Print_Titles</vt:lpstr>
      <vt:lpstr>ใบสั่งซื้อ!Print_Titles</vt:lpstr>
      <vt:lpstr>สัญญาจ้างก่อสร้าง!Print_Titles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Edition</dc:creator>
  <cp:lastModifiedBy>Acer</cp:lastModifiedBy>
  <cp:lastPrinted>2024-04-05T09:11:20Z</cp:lastPrinted>
  <dcterms:created xsi:type="dcterms:W3CDTF">2017-10-06T07:29:35Z</dcterms:created>
  <dcterms:modified xsi:type="dcterms:W3CDTF">2024-04-09T03:29:47Z</dcterms:modified>
</cp:coreProperties>
</file>